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4\"/>
    </mc:Choice>
  </mc:AlternateContent>
  <bookViews>
    <workbookView xWindow="0" yWindow="0" windowWidth="20490" windowHeight="8340" activeTab="1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Center'!$A$1:$AH$16</definedName>
    <definedName name="_xlnm.Print_Area" localSheetId="7">'Visitor Center JE'!$A$1:$D$20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34" i="3" l="1"/>
  <c r="AL45" i="3"/>
  <c r="AM45" i="3"/>
  <c r="AM34" i="3"/>
  <c r="AM33" i="3"/>
  <c r="AL33" i="3"/>
  <c r="AM10" i="10" l="1"/>
  <c r="AM15" i="10" l="1"/>
  <c r="AL15" i="10"/>
  <c r="AL10" i="10" s="1"/>
  <c r="Z6" i="3" l="1"/>
  <c r="C15" i="3" l="1"/>
  <c r="AM35" i="3" l="1"/>
  <c r="AL35" i="3"/>
  <c r="AM22" i="9"/>
  <c r="AL22" i="9"/>
  <c r="AM21" i="9"/>
  <c r="AL21" i="9"/>
  <c r="AM29" i="9"/>
  <c r="AL29" i="9"/>
  <c r="AM20" i="9"/>
  <c r="AL20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C27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C26" i="9"/>
  <c r="AH5" i="10"/>
  <c r="C5" i="11" s="1"/>
  <c r="AH7" i="10" l="1"/>
  <c r="AH6" i="10"/>
  <c r="C6" i="11" s="1"/>
  <c r="D16" i="10" l="1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C16" i="10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C30" i="9"/>
  <c r="AL37" i="3" l="1"/>
  <c r="AM9" i="10"/>
  <c r="AL9" i="10"/>
  <c r="AH22" i="9"/>
  <c r="AH21" i="9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U52" i="3"/>
  <c r="V52" i="3"/>
  <c r="W52" i="3"/>
  <c r="X52" i="3"/>
  <c r="Y52" i="3"/>
  <c r="AF52" i="3"/>
  <c r="AG52" i="3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15" i="11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H7" i="3" l="1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4" i="11"/>
  <c r="C13" i="11"/>
  <c r="C12" i="11"/>
  <c r="C11" i="11"/>
  <c r="B1" i="11"/>
  <c r="B1" i="10"/>
  <c r="AH15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H10" i="10"/>
  <c r="AH9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H4" i="10"/>
  <c r="C4" i="11" s="1"/>
  <c r="AH3" i="10"/>
  <c r="C3" i="11" s="1"/>
  <c r="C6" i="5" l="1"/>
  <c r="D18" i="11"/>
  <c r="C41" i="5"/>
  <c r="AL11" i="10"/>
  <c r="AH11" i="10"/>
  <c r="AH13" i="10"/>
  <c r="AL13" i="10" s="1"/>
  <c r="C7" i="11" s="1"/>
  <c r="D9" i="11" s="1"/>
  <c r="AM14" i="10" l="1"/>
  <c r="AN14" i="10" s="1"/>
  <c r="AN11" i="10"/>
  <c r="E13" i="11"/>
  <c r="C18" i="7"/>
  <c r="C17" i="7"/>
  <c r="AH29" i="9" l="1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Y38" i="9" s="1"/>
  <c r="Z35" i="9"/>
  <c r="AA35" i="9"/>
  <c r="AB35" i="9"/>
  <c r="AC35" i="9"/>
  <c r="AD35" i="9"/>
  <c r="AE35" i="9"/>
  <c r="AF35" i="9"/>
  <c r="AG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21" i="9"/>
  <c r="AH23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J32" i="9" s="1"/>
  <c r="AH27" i="9"/>
  <c r="AH15" i="9"/>
  <c r="AH8" i="9"/>
  <c r="AF46" i="9"/>
  <c r="AB46" i="9"/>
  <c r="X46" i="9"/>
  <c r="T46" i="9"/>
  <c r="AH33" i="9"/>
  <c r="T38" i="9"/>
  <c r="AH46" i="9" l="1"/>
  <c r="AJ46" i="9" s="1"/>
  <c r="AJ35" i="9"/>
  <c r="C28" i="7" s="1"/>
  <c r="AH38" i="9"/>
  <c r="AH45" i="9"/>
  <c r="C25" i="7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V50" i="3"/>
  <c r="W50" i="3"/>
  <c r="X50" i="3"/>
  <c r="Y50" i="3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G50" i="3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M44" i="3" s="1"/>
  <c r="AH39" i="3"/>
  <c r="C41" i="3"/>
  <c r="AH41" i="3" s="1"/>
  <c r="AN39" i="3" l="1"/>
  <c r="C42" i="5"/>
  <c r="C45" i="5" s="1"/>
  <c r="AN44" i="3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Y3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extra cash found when counting change bags</t>
        </r>
      </text>
    </comment>
    <comment ref="AD3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640.70 deposited 2/29, 470.00 deposited 3/1</t>
        </r>
      </text>
    </comment>
    <comment ref="AD35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not rung up in ActiveNet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Dee W.
Steve S.
Lilly G.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Steve S
Peg R $0.20 short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Lilly G
</t>
        </r>
      </text>
    </comment>
    <comment ref="F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Marina N $2.25 short
Sara W</t>
        </r>
      </text>
    </comment>
    <comment ref="G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Peg R $2.00 over
deposit $10.00 short
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</t>
        </r>
      </text>
    </comment>
    <comment ref="I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Sara W</t>
        </r>
      </text>
    </comment>
    <comment ref="J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Peg R over $1.00
Steve S short $0.75</t>
        </r>
      </text>
    </comment>
    <comment ref="K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Steve S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Steve S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Marina N $0.75 over</t>
        </r>
      </text>
    </comment>
    <comment ref="N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</t>
        </r>
      </text>
    </comment>
    <comment ref="O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over $0.70
Lilly G</t>
        </r>
      </text>
    </comment>
    <comment ref="P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$2.00 short
Sara W</t>
        </r>
      </text>
    </comment>
    <comment ref="Q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Dee W
Steve S</t>
        </r>
      </text>
    </comment>
    <comment ref="R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Dee W
Steve S</t>
        </r>
      </text>
    </comment>
    <comment ref="S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 $1.00 short
Sara W</t>
        </r>
      </text>
    </comment>
    <comment ref="T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$0.09 over
Marina N $4.45 short
Sara W</t>
        </r>
      </text>
    </comment>
    <comment ref="Z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Sara W $3.00 over</t>
        </r>
      </text>
    </comment>
    <comment ref="AA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Marina N $0.45 short
Sara W
Glynn W $5.50 over</t>
        </r>
      </text>
    </comment>
    <comment ref="AB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
Sara W $9.90 over</t>
        </r>
      </text>
    </comment>
    <comment ref="A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$1.64 over
Lilly G</t>
        </r>
      </text>
    </comment>
    <comment ref="AD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Sara W $2.20 over
Olivia C</t>
        </r>
      </text>
    </comment>
    <comment ref="AE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Dee W
Lilly G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Julie Lancaster</author>
    <author>MartyJo Davis</author>
  </authors>
  <commentList>
    <comment ref="AD1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over/shorts for month</t>
        </r>
      </text>
    </comment>
    <comment ref="AN1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<sst xmlns="http://schemas.openxmlformats.org/spreadsheetml/2006/main" count="575" uniqueCount="237">
  <si>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</si>
  <si>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</si>
  <si>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</si>
  <si>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</si>
  <si>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</si>
  <si>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</si>
  <si>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</si>
  <si>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</si>
  <si>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</si>
  <si>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</si>
  <si>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</si>
  <si>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</si>
  <si>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</si>
  <si>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</si>
  <si>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</si>
  <si>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</si>
  <si>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</si>
  <si>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</si>
  <si>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</si>
  <si>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</si>
  <si>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</si>
  <si>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</si>
  <si>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</si>
  <si>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</si>
  <si>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</si>
  <si>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</si>
  <si>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</si>
  <si>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</si>
  <si>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</si>
  <si>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</si>
  <si>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</si>
  <si>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</si>
  <si>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</si>
  <si>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</si>
  <si>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</si>
  <si>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</si>
  <si>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</si>
  <si>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</si>
  <si>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</si>
  <si>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</si>
  <si>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</si>
  <si>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</si>
  <si>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</si>
  <si>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</si>
  <si>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</si>
  <si>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</si>
  <si>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</si>
  <si>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</si>
  <si>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</si>
  <si>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</si>
  <si>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</si>
  <si>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</si>
  <si>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</si>
  <si>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</si>
  <si>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</si>
  <si>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</si>
  <si>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</si>
  <si>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</si>
  <si>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</si>
  <si>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</si>
  <si>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</si>
  <si>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</si>
  <si>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</si>
  <si>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</si>
  <si>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</si>
  <si>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</si>
  <si>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</si>
  <si>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</si>
  <si>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</si>
  <si>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</si>
  <si>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</si>
  <si>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</si>
  <si>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</si>
  <si>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</si>
  <si>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</si>
  <si>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</si>
  <si>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</si>
  <si>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</si>
  <si>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</si>
  <si>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</si>
  <si>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</si>
  <si>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</si>
  <si>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</si>
  <si>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</si>
  <si>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</si>
  <si>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</si>
  <si>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</si>
  <si>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</si>
  <si>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</si>
  <si>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</si>
  <si>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</si>
  <si>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</si>
  <si>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</si>
  <si>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</si>
  <si>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</si>
  <si>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</si>
  <si>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</si>
  <si>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</si>
  <si>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</si>
  <si>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</si>
  <si>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</si>
  <si>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</si>
  <si>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</si>
  <si>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</si>
  <si>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</si>
  <si>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</si>
  <si>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</si>
  <si>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</si>
  <si>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</si>
  <si>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</si>
  <si>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</si>
  <si>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</si>
  <si>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</si>
  <si>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</si>
  <si>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</si>
  <si>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</si>
  <si>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</si>
  <si>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</si>
  <si>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</si>
  <si>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</si>
  <si>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</si>
  <si>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</si>
  <si>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</si>
  <si>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</si>
  <si>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</si>
  <si>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</si>
  <si>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</si>
  <si>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</si>
  <si>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</si>
  <si>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</si>
  <si>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</si>
  <si>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</si>
  <si>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</si>
  <si>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</si>
  <si>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</si>
  <si>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</si>
  <si>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</si>
  <si>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</si>
  <si>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</si>
  <si>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</si>
  <si>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</si>
  <si>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</si>
  <si>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</si>
  <si>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</si>
  <si>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</si>
  <si>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</si>
  <si>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</si>
  <si>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</si>
  <si>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</si>
  <si>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</si>
  <si>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</si>
  <si>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</si>
  <si>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</si>
  <si>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</si>
  <si>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</si>
  <si>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</si>
  <si>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</si>
  <si>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</si>
  <si>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</si>
  <si>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</si>
  <si>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</si>
  <si>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</si>
  <si>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</si>
  <si>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</si>
  <si>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</si>
  <si>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</si>
  <si>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</si>
  <si>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</si>
  <si>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</si>
  <si>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</si>
  <si>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</si>
  <si>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</si>
  <si>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</si>
  <si>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</si>
  <si>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</si>
  <si>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</si>
  <si>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</si>
  <si>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</si>
  <si>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</si>
  <si>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</si>
  <si>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</si>
  <si>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</si>
  <si>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</si>
  <si>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</si>
  <si>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</si>
  <si>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</si>
  <si>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</si>
  <si>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</si>
  <si>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</si>
  <si>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</si>
  <si>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</si>
  <si>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</si>
  <si>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</si>
  <si>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</si>
  <si>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</si>
  <si>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</si>
  <si>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</si>
  <si>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</si>
  <si>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</si>
  <si>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</si>
  <si>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</si>
  <si>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</si>
  <si>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</si>
  <si>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</si>
  <si>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</si>
  <si>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</si>
  <si>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</si>
  <si>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</si>
  <si>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</si>
  <si>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</si>
  <si>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</si>
  <si>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</si>
  <si>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</si>
  <si>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</si>
  <si>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</si>
  <si>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</si>
  <si>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</si>
  <si>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</si>
  <si>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</si>
  <si>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</si>
  <si>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</si>
  <si>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</si>
  <si>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</si>
  <si>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</si>
  <si>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</si>
  <si>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</si>
  <si>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</si>
  <si>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</si>
  <si>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</si>
  <si>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</si>
  <si>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</si>
  <si>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</si>
  <si>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</si>
  <si>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OHV Permits</t>
  </si>
  <si>
    <t>Non-profit Passthrough Sales</t>
  </si>
  <si>
    <t>February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</si>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</sst>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2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2" fontId="45" fillId="0" borderId="46" xfId="0" applyNumberFormat="1" applyFont="1" applyBorder="1" applyProtection="1"/>
    <xf numFmtId="2" fontId="45" fillId="0" borderId="58" xfId="0" applyNumberFormat="1" applyFont="1" applyBorder="1" applyProtection="1"/>
    <xf numFmtId="43" fontId="12" fillId="0" borderId="0" xfId="0" applyNumberFormat="1" applyFont="1" applyProtection="1">
      <protection locked="0"/>
    </xf>
    <xf numFmtId="43" fontId="45" fillId="0" borderId="17" xfId="0" applyNumberFormat="1" applyFont="1" applyBorder="1" applyProtection="1"/>
    <xf numFmtId="43" fontId="45" fillId="0" borderId="18" xfId="0" applyNumberFormat="1" applyFont="1" applyBorder="1" applyProtection="1"/>
    <xf numFmtId="43" fontId="45" fillId="0" borderId="9" xfId="0" applyNumberFormat="1" applyFont="1" applyBorder="1" applyProtection="1"/>
    <xf numFmtId="43" fontId="45" fillId="0" borderId="20" xfId="0" applyNumberFormat="1" applyFont="1" applyBorder="1" applyProtection="1"/>
    <xf numFmtId="43" fontId="42" fillId="0" borderId="73" xfId="0" applyNumberFormat="1" applyFont="1" applyBorder="1" applyProtection="1"/>
    <xf numFmtId="43" fontId="45" fillId="0" borderId="29" xfId="0" applyNumberFormat="1" applyFont="1" applyBorder="1" applyProtection="1"/>
    <xf numFmtId="43" fontId="45" fillId="0" borderId="62" xfId="0" applyNumberFormat="1" applyFont="1" applyBorder="1" applyProtection="1"/>
    <xf numFmtId="43" fontId="45" fillId="0" borderId="22" xfId="0" applyNumberFormat="1" applyFont="1" applyBorder="1"/>
    <xf numFmtId="43" fontId="45" fillId="0" borderId="23" xfId="0" applyNumberFormat="1" applyFont="1" applyBorder="1"/>
    <xf numFmtId="43" fontId="45" fillId="0" borderId="29" xfId="0" applyNumberFormat="1" applyFont="1" applyFill="1" applyBorder="1" applyProtection="1">
      <protection locked="0"/>
    </xf>
    <xf numFmtId="0" fontId="45" fillId="0" borderId="46" xfId="0" applyFont="1" applyBorder="1" applyProtection="1"/>
    <xf numFmtId="0" fontId="45" fillId="0" borderId="58" xfId="0" applyFont="1" applyBorder="1" applyProtection="1"/>
    <xf numFmtId="43" fontId="0" fillId="0" borderId="47" xfId="0" applyNumberFormat="1" applyFont="1" applyBorder="1" applyProtection="1">
      <protection locked="0"/>
    </xf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37" sqref="A37:XFD37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235</v>
      </c>
      <c r="D1" s="384">
        <v>2024</v>
      </c>
      <c r="G1" s="217"/>
    </row>
    <row r="3" spans="1:22" x14ac:dyDescent="0.2">
      <c r="A3" s="5"/>
    </row>
    <row r="4" spans="1:22" s="1" customFormat="1" x14ac:dyDescent="0.2">
      <c r="B4" s="230"/>
      <c r="C4" s="496" t="s">
        <v>1</v>
      </c>
      <c r="D4" s="497"/>
      <c r="E4" s="497"/>
      <c r="F4" s="497"/>
      <c r="G4" s="497"/>
      <c r="H4" s="497"/>
      <c r="I4" s="497"/>
      <c r="J4" s="497"/>
      <c r="K4" s="497"/>
      <c r="L4" s="497"/>
      <c r="M4" s="498"/>
      <c r="N4" s="6"/>
      <c r="O4" s="499" t="s">
        <v>2</v>
      </c>
      <c r="P4" s="500"/>
      <c r="Q4" s="500"/>
      <c r="R4" s="501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45323</v>
      </c>
      <c r="B8" s="232" t="str">
        <f>TEXT(A8, "DDD")</f>
        <v>Thu</v>
      </c>
      <c r="C8" s="152">
        <f t="array" ref="C8:C38">TRANSPOSE(Pool!C33:AG33)</f>
        <v>194.25</v>
      </c>
      <c r="D8" s="58">
        <f>'Box Canon'!C18+'Box Canon'!C19</f>
        <v>0</v>
      </c>
      <c r="E8" s="21"/>
      <c r="F8" s="21"/>
      <c r="G8" s="151">
        <f t="array" ref="G8:G38">TRANSPOSE(Pool!C34:AG34)</f>
        <v>2322.5</v>
      </c>
      <c r="H8" s="151">
        <f t="array" ref="H8:H38">TRANSPOSE(Pool!C35:AG35)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45324</v>
      </c>
      <c r="B9" s="232" t="str">
        <f t="shared" ref="B9:B38" si="0">TEXT(A9, "DDD")</f>
        <v>Fri</v>
      </c>
      <c r="C9" s="152">
        <v>262.8</v>
      </c>
      <c r="D9" s="58">
        <f>'Box Canon'!D18+'Box Canon'!D19</f>
        <v>0</v>
      </c>
      <c r="E9" s="21"/>
      <c r="F9" s="21"/>
      <c r="G9" s="151">
        <v>2976.15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45325</v>
      </c>
      <c r="B10" s="232" t="str">
        <f t="shared" si="0"/>
        <v>Sat</v>
      </c>
      <c r="C10" s="152">
        <v>1617.5</v>
      </c>
      <c r="D10" s="58">
        <f>'Box Canon'!E18+'Box Canon'!E19</f>
        <v>0</v>
      </c>
      <c r="E10" s="21"/>
      <c r="F10" s="21"/>
      <c r="G10" s="151">
        <v>6046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45326</v>
      </c>
      <c r="B11" s="232" t="str">
        <f t="shared" si="0"/>
        <v>Sun</v>
      </c>
      <c r="C11" s="152">
        <v>641.4</v>
      </c>
      <c r="D11" s="58">
        <f>'Box Canon'!F18+'Box Canon'!F19</f>
        <v>0</v>
      </c>
      <c r="E11" s="21"/>
      <c r="F11" s="21"/>
      <c r="G11" s="151">
        <v>3603.95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45327</v>
      </c>
      <c r="B12" s="232" t="str">
        <f t="shared" si="0"/>
        <v>Mon</v>
      </c>
      <c r="C12" s="152">
        <v>561.29999999999995</v>
      </c>
      <c r="D12" s="58">
        <f>'Box Canon'!G18+'Box Canon'!G19</f>
        <v>0</v>
      </c>
      <c r="E12" s="21"/>
      <c r="F12" s="21"/>
      <c r="G12" s="151">
        <v>1802.75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45328</v>
      </c>
      <c r="B13" s="232" t="str">
        <f t="shared" si="0"/>
        <v>Tue</v>
      </c>
      <c r="C13" s="152">
        <v>56</v>
      </c>
      <c r="D13" s="58">
        <f>'Box Canon'!H18+'Box Canon'!H19</f>
        <v>0</v>
      </c>
      <c r="E13" s="21"/>
      <c r="F13" s="21"/>
      <c r="G13" s="151">
        <v>1771.25</v>
      </c>
      <c r="H13" s="153">
        <v>0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45329</v>
      </c>
      <c r="B14" s="232" t="str">
        <f t="shared" si="0"/>
        <v>Wed</v>
      </c>
      <c r="C14" s="152">
        <v>316</v>
      </c>
      <c r="D14" s="58">
        <f>'Box Canon'!I18+'Box Canon'!I19</f>
        <v>0</v>
      </c>
      <c r="E14" s="21"/>
      <c r="F14" s="21"/>
      <c r="G14" s="151">
        <v>1133.45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45330</v>
      </c>
      <c r="B15" s="232" t="str">
        <f t="shared" si="0"/>
        <v>Thu</v>
      </c>
      <c r="C15" s="152">
        <v>450.25</v>
      </c>
      <c r="D15" s="58">
        <f>'Box Canon'!J18+'Box Canon'!J19</f>
        <v>0</v>
      </c>
      <c r="E15" s="21"/>
      <c r="F15" s="21"/>
      <c r="G15" s="151">
        <v>1952.35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45331</v>
      </c>
      <c r="B16" s="232" t="str">
        <f t="shared" si="0"/>
        <v>Fri</v>
      </c>
      <c r="C16" s="152">
        <v>630.29999999999995</v>
      </c>
      <c r="D16" s="58">
        <f>'Box Canon'!K18+'Box Canon'!K19</f>
        <v>0</v>
      </c>
      <c r="E16" s="21"/>
      <c r="F16" s="21"/>
      <c r="G16" s="151">
        <v>3805.6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45332</v>
      </c>
      <c r="B17" s="232" t="str">
        <f t="shared" si="0"/>
        <v>Sat</v>
      </c>
      <c r="C17" s="152">
        <v>1010.3</v>
      </c>
      <c r="D17" s="58">
        <f>'Box Canon'!L18+'Box Canon'!L19</f>
        <v>0</v>
      </c>
      <c r="E17" s="21"/>
      <c r="F17" s="21"/>
      <c r="G17" s="151">
        <v>6060.55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45333</v>
      </c>
      <c r="B18" s="232" t="str">
        <f t="shared" si="0"/>
        <v>Sun</v>
      </c>
      <c r="C18" s="152">
        <v>701.65</v>
      </c>
      <c r="D18" s="58">
        <f>'Box Canon'!M18+'Box Canon'!M19</f>
        <v>0</v>
      </c>
      <c r="E18" s="21"/>
      <c r="F18" s="21"/>
      <c r="G18" s="151">
        <v>3583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45334</v>
      </c>
      <c r="B19" s="232" t="str">
        <f t="shared" si="0"/>
        <v>Mon</v>
      </c>
      <c r="C19" s="152">
        <v>670.25</v>
      </c>
      <c r="D19" s="58">
        <f>'Box Canon'!N18+'Box Canon'!N19</f>
        <v>0</v>
      </c>
      <c r="E19" s="21"/>
      <c r="F19" s="21"/>
      <c r="G19" s="151">
        <v>2775.9</v>
      </c>
      <c r="H19" s="153">
        <v>0</v>
      </c>
      <c r="I19" s="151">
        <f>'Box Canon'!N20+'Box Canon'!N21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45335</v>
      </c>
      <c r="B20" s="232" t="str">
        <f t="shared" si="0"/>
        <v>Tue</v>
      </c>
      <c r="C20" s="152">
        <v>345.9</v>
      </c>
      <c r="D20" s="58">
        <f>'Box Canon'!O18+'Box Canon'!O19</f>
        <v>0</v>
      </c>
      <c r="E20" s="21"/>
      <c r="F20" s="21"/>
      <c r="G20" s="151">
        <v>1348.5</v>
      </c>
      <c r="H20" s="153">
        <v>0</v>
      </c>
      <c r="I20" s="151">
        <f>'Box Canon'!O20+'Box Canon'!O21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45336</v>
      </c>
      <c r="B21" s="232" t="str">
        <f t="shared" si="0"/>
        <v>Wed</v>
      </c>
      <c r="C21" s="152">
        <v>351.55</v>
      </c>
      <c r="D21" s="58">
        <f>'Box Canon'!P18+'Box Canon'!P19</f>
        <v>0</v>
      </c>
      <c r="E21" s="41"/>
      <c r="F21" s="21"/>
      <c r="G21" s="151">
        <v>2548.15</v>
      </c>
      <c r="H21" s="153">
        <v>0</v>
      </c>
      <c r="I21" s="151">
        <f>'Box Canon'!P20+'Box Canon'!P21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45337</v>
      </c>
      <c r="B22" s="232" t="str">
        <f t="shared" si="0"/>
        <v>Thu</v>
      </c>
      <c r="C22" s="152">
        <v>476.5</v>
      </c>
      <c r="D22" s="58">
        <f>'Box Canon'!Q18+'Box Canon'!Q19</f>
        <v>0</v>
      </c>
      <c r="E22" s="21"/>
      <c r="F22" s="21"/>
      <c r="G22" s="151">
        <v>1893</v>
      </c>
      <c r="H22" s="153">
        <v>0</v>
      </c>
      <c r="I22" s="151">
        <f>'Box Canon'!Q20+'Box Canon'!Q21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45338</v>
      </c>
      <c r="B23" s="232" t="str">
        <f t="shared" si="0"/>
        <v>Fri</v>
      </c>
      <c r="C23" s="152">
        <v>403.8</v>
      </c>
      <c r="D23" s="58">
        <f>'Box Canon'!R18+'Box Canon'!R19</f>
        <v>0</v>
      </c>
      <c r="E23" s="21"/>
      <c r="F23" s="21"/>
      <c r="G23" s="151">
        <v>3903.8</v>
      </c>
      <c r="H23" s="153">
        <v>0</v>
      </c>
      <c r="I23" s="151">
        <f>'Box Canon'!R20+'Box Canon'!R21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45339</v>
      </c>
      <c r="B24" s="232" t="str">
        <f t="shared" si="0"/>
        <v>Sat</v>
      </c>
      <c r="C24" s="152">
        <v>1169.3</v>
      </c>
      <c r="D24" s="58">
        <f>'Box Canon'!S18+'Box Canon'!S19</f>
        <v>0</v>
      </c>
      <c r="E24" s="21"/>
      <c r="F24" s="21"/>
      <c r="G24" s="151">
        <v>9683.4500000000007</v>
      </c>
      <c r="H24" s="153">
        <v>0</v>
      </c>
      <c r="I24" s="151">
        <f>'Box Canon'!S20+'Box Canon'!S21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45340</v>
      </c>
      <c r="B25" s="232" t="str">
        <f t="shared" si="0"/>
        <v>Sun</v>
      </c>
      <c r="C25" s="152">
        <v>1584.94</v>
      </c>
      <c r="D25" s="58">
        <f>'Box Canon'!T18+'Box Canon'!T19</f>
        <v>0</v>
      </c>
      <c r="E25" s="21"/>
      <c r="F25" s="21"/>
      <c r="G25" s="151">
        <v>8732.9</v>
      </c>
      <c r="H25" s="153">
        <v>0</v>
      </c>
      <c r="I25" s="151">
        <f>'Box Canon'!T20+'Box Canon'!T21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45341</v>
      </c>
      <c r="B26" s="232" t="str">
        <f t="shared" si="0"/>
        <v>Mon</v>
      </c>
      <c r="C26" s="152">
        <v>0</v>
      </c>
      <c r="D26" s="58">
        <f>'Box Canon'!U18+'Box Canon'!U19</f>
        <v>0</v>
      </c>
      <c r="E26" s="21"/>
      <c r="F26" s="21"/>
      <c r="G26" s="151">
        <v>0</v>
      </c>
      <c r="H26" s="153">
        <v>0</v>
      </c>
      <c r="I26" s="151">
        <f>'Box Canon'!U20+'Box Canon'!U21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45342</v>
      </c>
      <c r="B27" s="232" t="str">
        <f t="shared" si="0"/>
        <v>Tue</v>
      </c>
      <c r="C27" s="152">
        <v>0</v>
      </c>
      <c r="D27" s="58">
        <f>'Box Canon'!V18+'Box Canon'!V19</f>
        <v>0</v>
      </c>
      <c r="E27" s="21"/>
      <c r="F27" s="21"/>
      <c r="G27" s="151">
        <v>4</v>
      </c>
      <c r="H27" s="153">
        <v>0</v>
      </c>
      <c r="I27" s="151">
        <f>'Box Canon'!V20+'Box Canon'!V21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45343</v>
      </c>
      <c r="B28" s="232" t="str">
        <f t="shared" si="0"/>
        <v>Wed</v>
      </c>
      <c r="C28" s="152">
        <v>0</v>
      </c>
      <c r="D28" s="58">
        <f>'Box Canon'!W18+'Box Canon'!W19</f>
        <v>0</v>
      </c>
      <c r="E28" s="21"/>
      <c r="F28" s="21"/>
      <c r="G28" s="151">
        <v>216.75</v>
      </c>
      <c r="H28" s="153">
        <v>0</v>
      </c>
      <c r="I28" s="151">
        <f>'Box Canon'!W20+'Box Canon'!W21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45344</v>
      </c>
      <c r="B29" s="232" t="str">
        <f t="shared" si="0"/>
        <v>Thu</v>
      </c>
      <c r="C29" s="152">
        <v>0</v>
      </c>
      <c r="D29" s="58">
        <f>'Box Canon'!X18+'Box Canon'!X19</f>
        <v>0</v>
      </c>
      <c r="E29" s="21"/>
      <c r="F29" s="21"/>
      <c r="G29" s="151">
        <v>0</v>
      </c>
      <c r="H29" s="153">
        <v>0</v>
      </c>
      <c r="I29" s="151">
        <f>'Box Canon'!X20+'Box Canon'!X21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45345</v>
      </c>
      <c r="B30" s="232" t="str">
        <f t="shared" si="0"/>
        <v>Fri</v>
      </c>
      <c r="C30" s="152">
        <v>161</v>
      </c>
      <c r="D30" s="58">
        <f>'Box Canon'!Y18+'Box Canon'!Y19</f>
        <v>0</v>
      </c>
      <c r="E30" s="21"/>
      <c r="F30" s="21"/>
      <c r="G30" s="151">
        <v>3</v>
      </c>
      <c r="H30" s="153">
        <v>0</v>
      </c>
      <c r="I30" s="151">
        <f>'Box Canon'!Y20+'Box Canon'!Y21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45346</v>
      </c>
      <c r="B31" s="232" t="str">
        <f t="shared" si="0"/>
        <v>Sat</v>
      </c>
      <c r="C31" s="152">
        <v>2034.75</v>
      </c>
      <c r="D31" s="58">
        <f>'Box Canon'!Z18+'Box Canon'!Z19</f>
        <v>0</v>
      </c>
      <c r="E31" s="21"/>
      <c r="F31" s="21"/>
      <c r="G31" s="151">
        <v>10181.799999999999</v>
      </c>
      <c r="H31" s="153">
        <v>0</v>
      </c>
      <c r="I31" s="151">
        <f>'Box Canon'!Z20+'Box Canon'!Z21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45347</v>
      </c>
      <c r="B32" s="232" t="str">
        <f t="shared" si="0"/>
        <v>Sun</v>
      </c>
      <c r="C32" s="152">
        <v>1252.4000000000001</v>
      </c>
      <c r="D32" s="58">
        <f>'Box Canon'!AA18+'Box Canon'!AA19</f>
        <v>0</v>
      </c>
      <c r="E32" s="21"/>
      <c r="F32" s="21"/>
      <c r="G32" s="151">
        <v>5367.85</v>
      </c>
      <c r="H32" s="153">
        <v>0</v>
      </c>
      <c r="I32" s="151">
        <f>'Box Canon'!AA20+'Box Canon'!AA21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45348</v>
      </c>
      <c r="B33" s="232" t="str">
        <f t="shared" si="0"/>
        <v>Mon</v>
      </c>
      <c r="C33" s="152">
        <v>246.9</v>
      </c>
      <c r="D33" s="58">
        <f>'Box Canon'!AB18+'Box Canon'!AB19</f>
        <v>0</v>
      </c>
      <c r="E33" s="21"/>
      <c r="F33" s="21"/>
      <c r="G33" s="151">
        <v>2304.15</v>
      </c>
      <c r="H33" s="153">
        <v>0</v>
      </c>
      <c r="I33" s="151">
        <f>'Box Canon'!AB20+'Box Canon'!AB21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45349</v>
      </c>
      <c r="B34" s="232" t="str">
        <f t="shared" si="0"/>
        <v>Tue</v>
      </c>
      <c r="C34" s="152">
        <v>76.64</v>
      </c>
      <c r="D34" s="58">
        <f>'Box Canon'!AC18+'Box Canon'!AC19</f>
        <v>0</v>
      </c>
      <c r="E34" s="21"/>
      <c r="F34" s="21"/>
      <c r="G34" s="151">
        <v>1025.75</v>
      </c>
      <c r="H34" s="153">
        <v>0</v>
      </c>
      <c r="I34" s="151">
        <f>'Box Canon'!AC20+'Box Canon'!AC21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45350</v>
      </c>
      <c r="B35" s="232" t="str">
        <f t="shared" si="0"/>
        <v>Wed</v>
      </c>
      <c r="C35" s="152">
        <v>1110.7</v>
      </c>
      <c r="D35" s="58">
        <f>'Box Canon'!AD18+'Box Canon'!AD19</f>
        <v>0</v>
      </c>
      <c r="E35" s="21"/>
      <c r="F35" s="21"/>
      <c r="G35" s="151">
        <v>2214.9</v>
      </c>
      <c r="H35" s="153">
        <v>52</v>
      </c>
      <c r="I35" s="151">
        <f>'Box Canon'!AD20+'Box Canon'!AD21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45351</v>
      </c>
      <c r="B36" s="232" t="str">
        <f t="shared" si="0"/>
        <v>Thu</v>
      </c>
      <c r="C36" s="152">
        <v>298.5</v>
      </c>
      <c r="D36" s="58">
        <f>'Box Canon'!AE18+'Box Canon'!AE19</f>
        <v>0</v>
      </c>
      <c r="E36" s="42"/>
      <c r="F36" s="21"/>
      <c r="G36" s="151">
        <v>1595.85</v>
      </c>
      <c r="H36" s="153">
        <v>0</v>
      </c>
      <c r="I36" s="151">
        <f>'Box Canon'!AE20+'Box Canon'!AE21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45352</v>
      </c>
      <c r="B37" s="232" t="str">
        <f t="shared" si="0"/>
        <v>Fri</v>
      </c>
      <c r="C37" s="152">
        <v>0</v>
      </c>
      <c r="D37" s="58">
        <f>'Box Canon'!AF18+'Box Canon'!AF19</f>
        <v>0</v>
      </c>
      <c r="E37" s="21"/>
      <c r="F37" s="21"/>
      <c r="G37" s="151">
        <v>0</v>
      </c>
      <c r="H37" s="153">
        <v>0</v>
      </c>
      <c r="I37" s="151">
        <f>'Box Canon'!AF20+'Box Canon'!AF21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45353</v>
      </c>
      <c r="B38" s="232" t="str">
        <f t="shared" si="0"/>
        <v>Sat</v>
      </c>
      <c r="C38" s="152">
        <v>0</v>
      </c>
      <c r="D38" s="58">
        <f>'Box Canon'!AG18+'Box Canon'!AG19</f>
        <v>0</v>
      </c>
      <c r="E38" s="21"/>
      <c r="F38" s="21"/>
      <c r="G38" s="151">
        <v>0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16624.879999999997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88857.3</v>
      </c>
      <c r="H40" s="171">
        <f>SUM(H8:H38)</f>
        <v>52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105534.18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16624.879999999997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tabSelected="1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L35" sqref="AL35"/>
    </sheetView>
  </sheetViews>
  <sheetFormatPr defaultRowHeight="15.75" x14ac:dyDescent="0.25"/>
  <cols>
    <col min="1" max="1" width="10.42578125" style="59" bestFit="1" customWidth="1"/>
    <col min="2" max="2" width="36.42578125" style="60" customWidth="1"/>
    <col min="3" max="31" width="10" style="60" customWidth="1"/>
    <col min="32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February</v>
      </c>
      <c r="C1" s="228" t="str">
        <f t="array" ref="C1:AG1">TRANSPOSE('Cash Flow'!B8:B38)</f>
        <v>Thu</v>
      </c>
      <c r="D1" s="228" t="str">
        <v>Fri</v>
      </c>
      <c r="E1" s="228" t="str">
        <v>Sat</v>
      </c>
      <c r="F1" s="228" t="str">
        <v>Sun</v>
      </c>
      <c r="G1" s="228" t="str">
        <v>Mon</v>
      </c>
      <c r="H1" s="228" t="str">
        <v>Tue</v>
      </c>
      <c r="I1" s="228" t="str">
        <v>Wed</v>
      </c>
      <c r="J1" s="228" t="str">
        <v>Thu</v>
      </c>
      <c r="K1" s="228" t="str">
        <v>Fri</v>
      </c>
      <c r="L1" s="228" t="str">
        <v>Sat</v>
      </c>
      <c r="M1" s="228" t="str">
        <v>Sun</v>
      </c>
      <c r="N1" s="228" t="str">
        <v>Mon</v>
      </c>
      <c r="O1" s="228" t="str">
        <v>Tue</v>
      </c>
      <c r="P1" s="228" t="str">
        <v>Wed</v>
      </c>
      <c r="Q1" s="228" t="str">
        <v>Thu</v>
      </c>
      <c r="R1" s="228" t="str">
        <v>Fri</v>
      </c>
      <c r="S1" s="228" t="str">
        <v>Sat</v>
      </c>
      <c r="T1" s="228" t="str">
        <v>Sun</v>
      </c>
      <c r="U1" s="228" t="str">
        <v>Mon</v>
      </c>
      <c r="V1" s="228" t="str">
        <v>Tue</v>
      </c>
      <c r="W1" s="228" t="str">
        <v>Wed</v>
      </c>
      <c r="X1" s="228" t="str">
        <v>Thu</v>
      </c>
      <c r="Y1" s="228" t="str">
        <v>Fri</v>
      </c>
      <c r="Z1" s="228" t="str">
        <v>Sat</v>
      </c>
      <c r="AA1" s="228" t="str">
        <v>Sun</v>
      </c>
      <c r="AB1" s="228" t="str">
        <v>Mon</v>
      </c>
      <c r="AC1" s="228" t="str">
        <v>Tue</v>
      </c>
      <c r="AD1" s="228" t="str">
        <v>Wed</v>
      </c>
      <c r="AE1" s="228" t="str">
        <v>Thu</v>
      </c>
      <c r="AF1" s="228" t="str">
        <v>Fri</v>
      </c>
      <c r="AG1" s="228" t="str">
        <v>Sat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45323</v>
      </c>
      <c r="D2" s="106">
        <f>C2+1</f>
        <v>45324</v>
      </c>
      <c r="E2" s="106">
        <f>D2+1</f>
        <v>45325</v>
      </c>
      <c r="F2" s="106">
        <f t="shared" ref="F2:AG2" si="0">E2+1</f>
        <v>45326</v>
      </c>
      <c r="G2" s="106">
        <f t="shared" si="0"/>
        <v>45327</v>
      </c>
      <c r="H2" s="106">
        <f t="shared" si="0"/>
        <v>45328</v>
      </c>
      <c r="I2" s="106">
        <f t="shared" si="0"/>
        <v>45329</v>
      </c>
      <c r="J2" s="106">
        <f t="shared" si="0"/>
        <v>45330</v>
      </c>
      <c r="K2" s="106">
        <f t="shared" si="0"/>
        <v>45331</v>
      </c>
      <c r="L2" s="106">
        <f t="shared" si="0"/>
        <v>45332</v>
      </c>
      <c r="M2" s="106">
        <f t="shared" si="0"/>
        <v>45333</v>
      </c>
      <c r="N2" s="106">
        <f t="shared" si="0"/>
        <v>45334</v>
      </c>
      <c r="O2" s="106">
        <f t="shared" si="0"/>
        <v>45335</v>
      </c>
      <c r="P2" s="106">
        <f t="shared" si="0"/>
        <v>45336</v>
      </c>
      <c r="Q2" s="106">
        <f t="shared" si="0"/>
        <v>45337</v>
      </c>
      <c r="R2" s="106">
        <f t="shared" si="0"/>
        <v>45338</v>
      </c>
      <c r="S2" s="106">
        <f t="shared" si="0"/>
        <v>45339</v>
      </c>
      <c r="T2" s="106">
        <f t="shared" si="0"/>
        <v>45340</v>
      </c>
      <c r="U2" s="106">
        <f t="shared" si="0"/>
        <v>45341</v>
      </c>
      <c r="V2" s="106">
        <f t="shared" si="0"/>
        <v>45342</v>
      </c>
      <c r="W2" s="106">
        <f t="shared" si="0"/>
        <v>45343</v>
      </c>
      <c r="X2" s="106">
        <f t="shared" si="0"/>
        <v>45344</v>
      </c>
      <c r="Y2" s="106">
        <f t="shared" si="0"/>
        <v>45345</v>
      </c>
      <c r="Z2" s="106">
        <f t="shared" si="0"/>
        <v>45346</v>
      </c>
      <c r="AA2" s="106">
        <f t="shared" si="0"/>
        <v>45347</v>
      </c>
      <c r="AB2" s="106">
        <f t="shared" si="0"/>
        <v>45348</v>
      </c>
      <c r="AC2" s="106">
        <f t="shared" si="0"/>
        <v>45349</v>
      </c>
      <c r="AD2" s="106">
        <f t="shared" si="0"/>
        <v>45350</v>
      </c>
      <c r="AE2" s="106">
        <f t="shared" si="0"/>
        <v>45351</v>
      </c>
      <c r="AF2" s="106">
        <f t="shared" si="0"/>
        <v>45352</v>
      </c>
      <c r="AG2" s="106">
        <f t="shared" si="0"/>
        <v>45353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8.86</v>
      </c>
      <c r="D3" s="185">
        <v>14.87</v>
      </c>
      <c r="E3" s="185">
        <v>42.28</v>
      </c>
      <c r="F3" s="185">
        <v>15.25</v>
      </c>
      <c r="G3" s="185">
        <v>13.15</v>
      </c>
      <c r="H3" s="185">
        <v>1.43</v>
      </c>
      <c r="I3" s="185">
        <v>12.11</v>
      </c>
      <c r="J3" s="185">
        <v>11.74</v>
      </c>
      <c r="K3" s="185">
        <v>15.94</v>
      </c>
      <c r="L3" s="185">
        <v>26.37</v>
      </c>
      <c r="M3" s="185">
        <v>19.72</v>
      </c>
      <c r="N3" s="185">
        <v>13.66</v>
      </c>
      <c r="O3" s="185">
        <v>4.6500000000000004</v>
      </c>
      <c r="P3" s="185">
        <v>10.92</v>
      </c>
      <c r="Q3" s="185">
        <v>10.68</v>
      </c>
      <c r="R3" s="185">
        <v>16.899999999999999</v>
      </c>
      <c r="S3" s="185">
        <v>39.06</v>
      </c>
      <c r="T3" s="185">
        <v>50.23</v>
      </c>
      <c r="U3" s="185"/>
      <c r="V3" s="185">
        <v>0.34</v>
      </c>
      <c r="W3" s="185">
        <v>1.17</v>
      </c>
      <c r="X3" s="185"/>
      <c r="Y3" s="185">
        <v>0.52</v>
      </c>
      <c r="Z3" s="185">
        <v>32.14</v>
      </c>
      <c r="AA3" s="185">
        <v>32.04</v>
      </c>
      <c r="AB3" s="185">
        <v>14.28</v>
      </c>
      <c r="AC3" s="185">
        <v>7.17</v>
      </c>
      <c r="AD3" s="185">
        <v>8.61</v>
      </c>
      <c r="AE3" s="185">
        <v>7.62</v>
      </c>
      <c r="AF3" s="185"/>
      <c r="AG3" s="185"/>
      <c r="AH3" s="108">
        <f>SUM(C3:AG3)</f>
        <v>431.71000000000004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1470</v>
      </c>
      <c r="D4" s="72">
        <v>1740.4</v>
      </c>
      <c r="E4" s="71">
        <v>6940</v>
      </c>
      <c r="F4" s="71">
        <v>3421.6</v>
      </c>
      <c r="G4" s="71">
        <v>1441.8</v>
      </c>
      <c r="H4" s="71">
        <v>-35</v>
      </c>
      <c r="I4" s="71">
        <v>949.2</v>
      </c>
      <c r="J4" s="71">
        <v>2003.6</v>
      </c>
      <c r="K4" s="71">
        <v>2826.4</v>
      </c>
      <c r="L4" s="71">
        <v>5427.2</v>
      </c>
      <c r="M4" s="71">
        <v>2914.4</v>
      </c>
      <c r="N4" s="71">
        <v>1696.4</v>
      </c>
      <c r="O4" s="71">
        <v>654.4</v>
      </c>
      <c r="P4" s="71">
        <v>2071.1999999999998</v>
      </c>
      <c r="Q4" s="71">
        <v>1796</v>
      </c>
      <c r="R4" s="71">
        <v>2841.6</v>
      </c>
      <c r="S4" s="71">
        <v>9194.4</v>
      </c>
      <c r="T4" s="71">
        <v>9252.2000000000007</v>
      </c>
      <c r="U4" s="71"/>
      <c r="V4" s="71"/>
      <c r="W4" s="71"/>
      <c r="X4" s="71"/>
      <c r="Y4" s="71"/>
      <c r="Z4" s="71">
        <v>10588.8</v>
      </c>
      <c r="AA4" s="71">
        <v>5611.2</v>
      </c>
      <c r="AB4" s="71">
        <v>1582</v>
      </c>
      <c r="AC4" s="71">
        <v>285.5</v>
      </c>
      <c r="AD4" s="71">
        <v>1214.4000000000001</v>
      </c>
      <c r="AE4" s="71">
        <v>1713.6</v>
      </c>
      <c r="AF4" s="71"/>
      <c r="AG4" s="71"/>
      <c r="AH4" s="108">
        <f t="shared" ref="AH4:AH28" si="1">SUM(C4:AG4)</f>
        <v>77601.3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4" customFormat="1" x14ac:dyDescent="0.25">
      <c r="A6" s="162" t="s">
        <v>152</v>
      </c>
      <c r="B6" s="163" t="s">
        <v>231</v>
      </c>
      <c r="C6" s="476">
        <v>126</v>
      </c>
      <c r="D6" s="477">
        <v>695</v>
      </c>
      <c r="E6" s="477">
        <v>65</v>
      </c>
      <c r="F6" s="477"/>
      <c r="G6" s="477">
        <v>125</v>
      </c>
      <c r="H6" s="477">
        <v>922.5</v>
      </c>
      <c r="I6" s="477"/>
      <c r="J6" s="477">
        <v>275</v>
      </c>
      <c r="K6" s="477">
        <v>270</v>
      </c>
      <c r="L6" s="477">
        <v>222.5</v>
      </c>
      <c r="M6" s="477"/>
      <c r="N6" s="477">
        <v>165</v>
      </c>
      <c r="O6" s="477">
        <v>547.5</v>
      </c>
      <c r="P6" s="477">
        <v>340</v>
      </c>
      <c r="Q6" s="477">
        <v>275</v>
      </c>
      <c r="R6" s="477">
        <v>605</v>
      </c>
      <c r="S6" s="477">
        <v>321</v>
      </c>
      <c r="T6" s="477"/>
      <c r="U6" s="477"/>
      <c r="V6" s="477"/>
      <c r="W6" s="477"/>
      <c r="X6" s="477"/>
      <c r="Y6" s="477"/>
      <c r="Z6" s="477">
        <f>225+180</f>
        <v>405</v>
      </c>
      <c r="AA6" s="477">
        <v>88</v>
      </c>
      <c r="AB6" s="477"/>
      <c r="AC6" s="477">
        <v>175</v>
      </c>
      <c r="AD6" s="477">
        <v>640</v>
      </c>
      <c r="AE6" s="477">
        <v>100</v>
      </c>
      <c r="AF6" s="477"/>
      <c r="AG6" s="477"/>
      <c r="AH6" s="108">
        <f>SUM(C6:AG6)</f>
        <v>6362.5</v>
      </c>
      <c r="AI6" s="62"/>
      <c r="AJ6" s="162" t="s">
        <v>152</v>
      </c>
      <c r="AK6" s="163" t="s">
        <v>192</v>
      </c>
      <c r="AM6" s="478"/>
    </row>
    <row r="7" spans="1:39" s="464" customFormat="1" x14ac:dyDescent="0.25">
      <c r="A7" s="162" t="s">
        <v>152</v>
      </c>
      <c r="B7" s="163" t="s">
        <v>222</v>
      </c>
      <c r="C7" s="476">
        <v>820</v>
      </c>
      <c r="D7" s="477">
        <v>360</v>
      </c>
      <c r="E7" s="477">
        <v>180</v>
      </c>
      <c r="F7" s="477">
        <v>720</v>
      </c>
      <c r="G7" s="477">
        <v>540</v>
      </c>
      <c r="H7" s="477">
        <v>180</v>
      </c>
      <c r="I7" s="477">
        <v>360</v>
      </c>
      <c r="J7" s="477"/>
      <c r="K7" s="477">
        <v>860</v>
      </c>
      <c r="L7" s="477">
        <v>900</v>
      </c>
      <c r="M7" s="477">
        <v>1220</v>
      </c>
      <c r="N7" s="477">
        <v>1220</v>
      </c>
      <c r="O7" s="477"/>
      <c r="P7" s="477">
        <v>360</v>
      </c>
      <c r="Q7" s="477">
        <v>180</v>
      </c>
      <c r="R7" s="477">
        <v>720</v>
      </c>
      <c r="S7" s="477">
        <v>900</v>
      </c>
      <c r="T7" s="477">
        <v>360</v>
      </c>
      <c r="U7" s="477"/>
      <c r="V7" s="477"/>
      <c r="W7" s="477"/>
      <c r="X7" s="477"/>
      <c r="Y7" s="477"/>
      <c r="Z7" s="477">
        <v>860</v>
      </c>
      <c r="AA7" s="477">
        <v>500</v>
      </c>
      <c r="AB7" s="477">
        <v>720</v>
      </c>
      <c r="AC7" s="477">
        <v>320</v>
      </c>
      <c r="AD7" s="477">
        <v>540</v>
      </c>
      <c r="AE7" s="477"/>
      <c r="AF7" s="477"/>
      <c r="AG7" s="477"/>
      <c r="AH7" s="108">
        <f>SUM(C7:AG7)</f>
        <v>12820</v>
      </c>
      <c r="AI7" s="62"/>
      <c r="AJ7" s="162" t="s">
        <v>152</v>
      </c>
      <c r="AK7" s="163" t="s">
        <v>222</v>
      </c>
      <c r="AM7" s="478"/>
    </row>
    <row r="8" spans="1:39" s="464" customFormat="1" x14ac:dyDescent="0.25">
      <c r="A8" s="162" t="s">
        <v>157</v>
      </c>
      <c r="B8" s="163" t="s">
        <v>229</v>
      </c>
      <c r="C8" s="476"/>
      <c r="D8" s="477"/>
      <c r="E8" s="477"/>
      <c r="F8" s="477"/>
      <c r="G8" s="477"/>
      <c r="H8" s="477"/>
      <c r="I8" s="477"/>
      <c r="J8" s="477"/>
      <c r="K8" s="477"/>
      <c r="L8" s="477"/>
      <c r="M8" s="477"/>
      <c r="N8" s="477"/>
      <c r="O8" s="477"/>
      <c r="P8" s="477"/>
      <c r="Q8" s="477"/>
      <c r="R8" s="477"/>
      <c r="S8" s="477"/>
      <c r="T8" s="477"/>
      <c r="U8" s="477"/>
      <c r="V8" s="477"/>
      <c r="W8" s="477"/>
      <c r="X8" s="477"/>
      <c r="Y8" s="477"/>
      <c r="Z8" s="477"/>
      <c r="AA8" s="477"/>
      <c r="AB8" s="477"/>
      <c r="AC8" s="477"/>
      <c r="AD8" s="477"/>
      <c r="AE8" s="477"/>
      <c r="AF8" s="477"/>
      <c r="AG8" s="477"/>
      <c r="AH8" s="108">
        <f t="shared" ref="AH8:AH13" si="2">SUM(C8:AG8)</f>
        <v>0</v>
      </c>
      <c r="AI8" s="62"/>
      <c r="AJ8" s="162" t="s">
        <v>157</v>
      </c>
      <c r="AK8" s="163" t="s">
        <v>158</v>
      </c>
      <c r="AM8" s="478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108">
        <f>SUM(C9:AG9)</f>
        <v>0</v>
      </c>
      <c r="AJ9" s="69" t="s">
        <v>173</v>
      </c>
      <c r="AK9" s="70" t="s">
        <v>63</v>
      </c>
      <c r="AM9" s="210"/>
    </row>
    <row r="10" spans="1:39" s="464" customFormat="1" x14ac:dyDescent="0.25">
      <c r="A10" s="162" t="s">
        <v>159</v>
      </c>
      <c r="B10" s="163" t="s">
        <v>230</v>
      </c>
      <c r="C10" s="476"/>
      <c r="D10" s="477"/>
      <c r="E10" s="477"/>
      <c r="F10" s="477"/>
      <c r="G10" s="477"/>
      <c r="H10" s="477"/>
      <c r="I10" s="477"/>
      <c r="J10" s="477"/>
      <c r="K10" s="477"/>
      <c r="L10" s="477"/>
      <c r="M10" s="477"/>
      <c r="N10" s="477"/>
      <c r="O10" s="477"/>
      <c r="P10" s="477"/>
      <c r="Q10" s="477"/>
      <c r="R10" s="477"/>
      <c r="S10" s="477"/>
      <c r="T10" s="477"/>
      <c r="U10" s="477"/>
      <c r="V10" s="477"/>
      <c r="W10" s="477"/>
      <c r="X10" s="477"/>
      <c r="Y10" s="477"/>
      <c r="Z10" s="477"/>
      <c r="AA10" s="477"/>
      <c r="AB10" s="477"/>
      <c r="AC10" s="477"/>
      <c r="AD10" s="477"/>
      <c r="AE10" s="477"/>
      <c r="AF10" s="477"/>
      <c r="AG10" s="477"/>
      <c r="AH10" s="108">
        <f t="shared" si="2"/>
        <v>0</v>
      </c>
      <c r="AI10" s="62"/>
      <c r="AJ10" s="162" t="s">
        <v>159</v>
      </c>
      <c r="AK10" s="163" t="s">
        <v>160</v>
      </c>
      <c r="AM10" s="478"/>
    </row>
    <row r="11" spans="1:39" s="464" customFormat="1" hidden="1" x14ac:dyDescent="0.25">
      <c r="A11" s="162" t="s">
        <v>153</v>
      </c>
      <c r="B11" s="163" t="s">
        <v>154</v>
      </c>
      <c r="C11" s="476"/>
      <c r="D11" s="477"/>
      <c r="E11" s="477"/>
      <c r="F11" s="477"/>
      <c r="G11" s="477"/>
      <c r="H11" s="477"/>
      <c r="I11" s="477"/>
      <c r="J11" s="477"/>
      <c r="K11" s="477"/>
      <c r="L11" s="477"/>
      <c r="M11" s="477"/>
      <c r="N11" s="477"/>
      <c r="O11" s="477"/>
      <c r="P11" s="477"/>
      <c r="Q11" s="477"/>
      <c r="R11" s="477"/>
      <c r="S11" s="477"/>
      <c r="T11" s="477"/>
      <c r="U11" s="477"/>
      <c r="V11" s="477"/>
      <c r="W11" s="477"/>
      <c r="X11" s="477"/>
      <c r="Y11" s="477"/>
      <c r="Z11" s="477"/>
      <c r="AA11" s="477"/>
      <c r="AB11" s="477"/>
      <c r="AC11" s="477"/>
      <c r="AD11" s="477"/>
      <c r="AE11" s="477"/>
      <c r="AF11" s="477"/>
      <c r="AG11" s="477"/>
      <c r="AH11" s="108">
        <f t="shared" si="2"/>
        <v>0</v>
      </c>
      <c r="AI11" s="62"/>
      <c r="AJ11" s="162" t="s">
        <v>153</v>
      </c>
      <c r="AK11" s="163" t="s">
        <v>154</v>
      </c>
      <c r="AM11" s="478"/>
    </row>
    <row r="12" spans="1:39" s="464" customFormat="1" hidden="1" x14ac:dyDescent="0.25">
      <c r="A12" s="162" t="s">
        <v>164</v>
      </c>
      <c r="B12" s="163" t="s">
        <v>165</v>
      </c>
      <c r="C12" s="476"/>
      <c r="D12" s="477"/>
      <c r="E12" s="477"/>
      <c r="F12" s="477"/>
      <c r="G12" s="477"/>
      <c r="H12" s="477"/>
      <c r="I12" s="477"/>
      <c r="J12" s="477"/>
      <c r="K12" s="477"/>
      <c r="L12" s="477"/>
      <c r="M12" s="477"/>
      <c r="N12" s="477"/>
      <c r="O12" s="477"/>
      <c r="P12" s="477"/>
      <c r="Q12" s="477"/>
      <c r="R12" s="477"/>
      <c r="S12" s="477"/>
      <c r="T12" s="477"/>
      <c r="U12" s="477"/>
      <c r="V12" s="477"/>
      <c r="W12" s="477"/>
      <c r="X12" s="477"/>
      <c r="Y12" s="477"/>
      <c r="Z12" s="477"/>
      <c r="AA12" s="477"/>
      <c r="AB12" s="477"/>
      <c r="AC12" s="477"/>
      <c r="AD12" s="477"/>
      <c r="AE12" s="477"/>
      <c r="AF12" s="477"/>
      <c r="AG12" s="477"/>
      <c r="AH12" s="108">
        <f t="shared" si="2"/>
        <v>0</v>
      </c>
      <c r="AI12" s="62"/>
      <c r="AJ12" s="162" t="s">
        <v>164</v>
      </c>
      <c r="AK12" s="163" t="s">
        <v>165</v>
      </c>
      <c r="AM12" s="478"/>
    </row>
    <row r="13" spans="1:39" s="464" customFormat="1" hidden="1" x14ac:dyDescent="0.25">
      <c r="A13" s="162" t="s">
        <v>166</v>
      </c>
      <c r="B13" s="163" t="s">
        <v>167</v>
      </c>
      <c r="C13" s="476"/>
      <c r="D13" s="477"/>
      <c r="E13" s="477"/>
      <c r="F13" s="477"/>
      <c r="G13" s="477"/>
      <c r="H13" s="477"/>
      <c r="I13" s="477"/>
      <c r="J13" s="477"/>
      <c r="K13" s="477"/>
      <c r="L13" s="477"/>
      <c r="M13" s="477"/>
      <c r="N13" s="477"/>
      <c r="O13" s="477"/>
      <c r="P13" s="477"/>
      <c r="Q13" s="477"/>
      <c r="R13" s="477"/>
      <c r="S13" s="477"/>
      <c r="T13" s="477"/>
      <c r="U13" s="477"/>
      <c r="V13" s="477"/>
      <c r="W13" s="477"/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108">
        <f t="shared" si="2"/>
        <v>0</v>
      </c>
      <c r="AI13" s="62"/>
      <c r="AJ13" s="162" t="s">
        <v>166</v>
      </c>
      <c r="AK13" s="163" t="s">
        <v>167</v>
      </c>
      <c r="AM13" s="478"/>
    </row>
    <row r="14" spans="1:39" s="464" customFormat="1" x14ac:dyDescent="0.25">
      <c r="A14" s="162" t="s">
        <v>34</v>
      </c>
      <c r="B14" s="163" t="s">
        <v>227</v>
      </c>
      <c r="C14" s="476">
        <v>8</v>
      </c>
      <c r="D14" s="477">
        <v>8</v>
      </c>
      <c r="E14" s="477"/>
      <c r="F14" s="477">
        <v>4</v>
      </c>
      <c r="G14" s="477">
        <v>12</v>
      </c>
      <c r="H14" s="477">
        <v>4</v>
      </c>
      <c r="I14" s="477"/>
      <c r="J14" s="477">
        <v>4</v>
      </c>
      <c r="K14" s="477">
        <v>245</v>
      </c>
      <c r="L14" s="477">
        <v>4</v>
      </c>
      <c r="M14" s="477"/>
      <c r="N14" s="477">
        <v>8</v>
      </c>
      <c r="O14" s="477"/>
      <c r="P14" s="477">
        <v>12</v>
      </c>
      <c r="Q14" s="477"/>
      <c r="R14" s="477"/>
      <c r="S14" s="477"/>
      <c r="T14" s="477">
        <v>223</v>
      </c>
      <c r="U14" s="477"/>
      <c r="V14" s="477"/>
      <c r="W14" s="477"/>
      <c r="X14" s="477"/>
      <c r="Y14" s="477"/>
      <c r="Z14" s="477"/>
      <c r="AA14" s="477">
        <v>109</v>
      </c>
      <c r="AB14" s="477">
        <v>12</v>
      </c>
      <c r="AC14" s="477"/>
      <c r="AD14" s="477">
        <v>500</v>
      </c>
      <c r="AE14" s="477">
        <v>4</v>
      </c>
      <c r="AF14" s="477"/>
      <c r="AG14" s="477"/>
      <c r="AH14" s="108">
        <f t="shared" si="1"/>
        <v>1157</v>
      </c>
      <c r="AI14" s="62"/>
      <c r="AJ14" s="162" t="s">
        <v>34</v>
      </c>
      <c r="AK14" s="163" t="s">
        <v>35</v>
      </c>
    </row>
    <row r="15" spans="1:39" s="464" customFormat="1" x14ac:dyDescent="0.25">
      <c r="A15" s="162" t="s">
        <v>36</v>
      </c>
      <c r="B15" s="163" t="s">
        <v>37</v>
      </c>
      <c r="C15" s="476">
        <f>78.89+5</f>
        <v>83.89</v>
      </c>
      <c r="D15" s="477">
        <v>151.88</v>
      </c>
      <c r="E15" s="477">
        <v>436.22</v>
      </c>
      <c r="F15" s="477">
        <v>118.75</v>
      </c>
      <c r="G15" s="477">
        <v>115.1</v>
      </c>
      <c r="H15" s="477">
        <v>6.82</v>
      </c>
      <c r="I15" s="477">
        <v>104.14</v>
      </c>
      <c r="J15" s="477">
        <v>108.01</v>
      </c>
      <c r="K15" s="477">
        <v>158.56</v>
      </c>
      <c r="L15" s="477">
        <v>270.27999999999997</v>
      </c>
      <c r="M15" s="477">
        <v>181.78</v>
      </c>
      <c r="N15" s="477">
        <v>128.09</v>
      </c>
      <c r="O15" s="477">
        <v>39.65</v>
      </c>
      <c r="P15" s="477">
        <v>107.58</v>
      </c>
      <c r="Q15" s="477">
        <v>107.82</v>
      </c>
      <c r="R15" s="477">
        <v>160.1</v>
      </c>
      <c r="S15" s="477">
        <v>399.29</v>
      </c>
      <c r="T15" s="477">
        <v>488.77</v>
      </c>
      <c r="U15" s="477"/>
      <c r="V15" s="477">
        <v>3.66</v>
      </c>
      <c r="W15" s="477">
        <v>5.58</v>
      </c>
      <c r="X15" s="477"/>
      <c r="Y15" s="477">
        <v>2.48</v>
      </c>
      <c r="Z15" s="477">
        <v>327.61</v>
      </c>
      <c r="AA15" s="477">
        <v>310.95999999999998</v>
      </c>
      <c r="AB15" s="477">
        <v>137.87</v>
      </c>
      <c r="AC15" s="477">
        <v>60.08</v>
      </c>
      <c r="AD15" s="477">
        <v>81.39</v>
      </c>
      <c r="AE15" s="477">
        <v>69.13</v>
      </c>
      <c r="AF15" s="477"/>
      <c r="AG15" s="477"/>
      <c r="AH15" s="108">
        <f t="shared" si="1"/>
        <v>4165.49</v>
      </c>
      <c r="AI15" s="62"/>
      <c r="AJ15" s="162" t="s">
        <v>36</v>
      </c>
      <c r="AK15" s="163" t="s">
        <v>37</v>
      </c>
    </row>
    <row r="16" spans="1:39" s="464" customFormat="1" hidden="1" x14ac:dyDescent="0.25">
      <c r="A16" s="162" t="s">
        <v>194</v>
      </c>
      <c r="B16" s="163" t="s">
        <v>111</v>
      </c>
      <c r="C16" s="476"/>
      <c r="D16" s="477"/>
      <c r="E16" s="477"/>
      <c r="F16" s="477"/>
      <c r="G16" s="477"/>
      <c r="H16" s="477"/>
      <c r="I16" s="477"/>
      <c r="J16" s="477"/>
      <c r="K16" s="477"/>
      <c r="L16" s="477"/>
      <c r="M16" s="477"/>
      <c r="N16" s="477"/>
      <c r="O16" s="477"/>
      <c r="P16" s="477"/>
      <c r="Q16" s="477"/>
      <c r="R16" s="477"/>
      <c r="S16" s="477"/>
      <c r="T16" s="477"/>
      <c r="U16" s="477"/>
      <c r="V16" s="477"/>
      <c r="W16" s="477"/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4" customFormat="1" hidden="1" x14ac:dyDescent="0.25">
      <c r="A17" s="162" t="s">
        <v>36</v>
      </c>
      <c r="B17" s="163" t="s">
        <v>225</v>
      </c>
      <c r="C17" s="476"/>
      <c r="D17" s="477"/>
      <c r="E17" s="477"/>
      <c r="F17" s="477"/>
      <c r="G17" s="477"/>
      <c r="H17" s="477"/>
      <c r="I17" s="477"/>
      <c r="J17" s="477"/>
      <c r="K17" s="477"/>
      <c r="L17" s="477"/>
      <c r="M17" s="477"/>
      <c r="N17" s="477"/>
      <c r="O17" s="477"/>
      <c r="P17" s="477"/>
      <c r="Q17" s="477"/>
      <c r="R17" s="477"/>
      <c r="S17" s="477"/>
      <c r="T17" s="477"/>
      <c r="U17" s="477"/>
      <c r="V17" s="477"/>
      <c r="W17" s="477"/>
      <c r="X17" s="477"/>
      <c r="Y17" s="477"/>
      <c r="Z17" s="477"/>
      <c r="AA17" s="477"/>
      <c r="AB17" s="477"/>
      <c r="AC17" s="477"/>
      <c r="AD17" s="477"/>
      <c r="AE17" s="477"/>
      <c r="AF17" s="477"/>
      <c r="AG17" s="477"/>
      <c r="AH17" s="108">
        <f t="shared" si="1"/>
        <v>0</v>
      </c>
      <c r="AI17" s="62"/>
      <c r="AJ17" s="162" t="s">
        <v>36</v>
      </c>
      <c r="AK17" s="163" t="s">
        <v>225</v>
      </c>
    </row>
    <row r="18" spans="1:39" s="464" customFormat="1" x14ac:dyDescent="0.25">
      <c r="A18" s="162" t="s">
        <v>77</v>
      </c>
      <c r="B18" s="163" t="s">
        <v>193</v>
      </c>
      <c r="C18" s="476"/>
      <c r="D18" s="477">
        <v>269</v>
      </c>
      <c r="E18" s="477"/>
      <c r="F18" s="477"/>
      <c r="G18" s="477">
        <v>125</v>
      </c>
      <c r="H18" s="477">
        <v>747.5</v>
      </c>
      <c r="I18" s="477">
        <v>24</v>
      </c>
      <c r="J18" s="477"/>
      <c r="K18" s="477">
        <v>60</v>
      </c>
      <c r="L18" s="477">
        <v>222.5</v>
      </c>
      <c r="M18" s="477"/>
      <c r="N18" s="477">
        <v>215</v>
      </c>
      <c r="O18" s="477">
        <v>447.5</v>
      </c>
      <c r="P18" s="477"/>
      <c r="Q18" s="477"/>
      <c r="R18" s="477"/>
      <c r="S18" s="477"/>
      <c r="T18" s="477"/>
      <c r="U18" s="477"/>
      <c r="V18" s="477"/>
      <c r="W18" s="477">
        <v>210</v>
      </c>
      <c r="X18" s="477"/>
      <c r="Y18" s="477"/>
      <c r="Z18" s="477"/>
      <c r="AA18" s="477"/>
      <c r="AB18" s="477"/>
      <c r="AC18" s="477">
        <v>149</v>
      </c>
      <c r="AD18" s="477">
        <v>339</v>
      </c>
      <c r="AE18" s="477"/>
      <c r="AF18" s="477"/>
      <c r="AG18" s="477"/>
      <c r="AH18" s="108">
        <f t="shared" si="1"/>
        <v>2808.5</v>
      </c>
      <c r="AI18" s="62"/>
      <c r="AJ18" s="162" t="s">
        <v>77</v>
      </c>
      <c r="AK18" s="163" t="s">
        <v>78</v>
      </c>
      <c r="AL18" s="478"/>
    </row>
    <row r="19" spans="1:39" s="464" customFormat="1" hidden="1" x14ac:dyDescent="0.25">
      <c r="A19" s="162" t="s">
        <v>38</v>
      </c>
      <c r="B19" s="163" t="s">
        <v>39</v>
      </c>
      <c r="C19" s="476"/>
      <c r="D19" s="477"/>
      <c r="E19" s="477"/>
      <c r="F19" s="477"/>
      <c r="G19" s="477"/>
      <c r="H19" s="477"/>
      <c r="I19" s="477"/>
      <c r="J19" s="477"/>
      <c r="K19" s="477"/>
      <c r="L19" s="477"/>
      <c r="M19" s="477"/>
      <c r="N19" s="477"/>
      <c r="O19" s="477"/>
      <c r="P19" s="477"/>
      <c r="Q19" s="477"/>
      <c r="R19" s="477"/>
      <c r="S19" s="477"/>
      <c r="T19" s="477"/>
      <c r="U19" s="477"/>
      <c r="V19" s="477"/>
      <c r="W19" s="477"/>
      <c r="X19" s="477"/>
      <c r="Y19" s="477"/>
      <c r="Z19" s="477"/>
      <c r="AA19" s="477"/>
      <c r="AB19" s="477"/>
      <c r="AC19" s="477"/>
      <c r="AD19" s="477"/>
      <c r="AE19" s="477"/>
      <c r="AF19" s="477"/>
      <c r="AG19" s="477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4" customFormat="1" x14ac:dyDescent="0.25">
      <c r="A20" s="162" t="s">
        <v>40</v>
      </c>
      <c r="B20" s="163" t="s">
        <v>228</v>
      </c>
      <c r="C20" s="476"/>
      <c r="D20" s="477"/>
      <c r="E20" s="477"/>
      <c r="F20" s="477"/>
      <c r="G20" s="477"/>
      <c r="H20" s="477"/>
      <c r="I20" s="477"/>
      <c r="J20" s="477"/>
      <c r="K20" s="477"/>
      <c r="L20" s="477"/>
      <c r="M20" s="477"/>
      <c r="N20" s="477"/>
      <c r="O20" s="477"/>
      <c r="P20" s="477"/>
      <c r="Q20" s="477"/>
      <c r="R20" s="477"/>
      <c r="S20" s="477"/>
      <c r="T20" s="477"/>
      <c r="U20" s="477"/>
      <c r="V20" s="477"/>
      <c r="W20" s="477"/>
      <c r="X20" s="477"/>
      <c r="Y20" s="477"/>
      <c r="Z20" s="477"/>
      <c r="AA20" s="477"/>
      <c r="AB20" s="477"/>
      <c r="AC20" s="477"/>
      <c r="AD20" s="477"/>
      <c r="AE20" s="477"/>
      <c r="AF20" s="477"/>
      <c r="AG20" s="477"/>
      <c r="AH20" s="108">
        <f>SUM(C20:AG20)</f>
        <v>0</v>
      </c>
      <c r="AI20" s="62"/>
      <c r="AJ20" s="162" t="s">
        <v>40</v>
      </c>
      <c r="AK20" s="163" t="s">
        <v>41</v>
      </c>
    </row>
    <row r="21" spans="1:39" s="464" customFormat="1" x14ac:dyDescent="0.25">
      <c r="A21" s="162" t="s">
        <v>161</v>
      </c>
      <c r="B21" s="163" t="s">
        <v>162</v>
      </c>
      <c r="C21" s="476"/>
      <c r="D21" s="477"/>
      <c r="E21" s="477"/>
      <c r="F21" s="477"/>
      <c r="G21" s="477"/>
      <c r="H21" s="477"/>
      <c r="I21" s="477"/>
      <c r="J21" s="477"/>
      <c r="K21" s="477"/>
      <c r="L21" s="477"/>
      <c r="M21" s="477"/>
      <c r="N21" s="477"/>
      <c r="O21" s="477"/>
      <c r="P21" s="477"/>
      <c r="Q21" s="477"/>
      <c r="R21" s="477"/>
      <c r="S21" s="477"/>
      <c r="T21" s="477"/>
      <c r="U21" s="477"/>
      <c r="V21" s="477"/>
      <c r="W21" s="477"/>
      <c r="X21" s="477"/>
      <c r="Y21" s="477"/>
      <c r="Z21" s="477"/>
      <c r="AA21" s="477"/>
      <c r="AB21" s="477"/>
      <c r="AC21" s="477"/>
      <c r="AD21" s="477"/>
      <c r="AE21" s="477"/>
      <c r="AF21" s="477"/>
      <c r="AG21" s="477"/>
      <c r="AH21" s="108">
        <f t="shared" si="1"/>
        <v>0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>
        <v>75</v>
      </c>
      <c r="AC28" s="80">
        <v>104</v>
      </c>
      <c r="AD28" s="80"/>
      <c r="AE28" s="80"/>
      <c r="AF28" s="80"/>
      <c r="AG28" s="80"/>
      <c r="AH28" s="108">
        <f t="shared" si="1"/>
        <v>179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2516.7499999999995</v>
      </c>
      <c r="D29" s="107">
        <f t="shared" si="3"/>
        <v>3239.15</v>
      </c>
      <c r="E29" s="107">
        <f t="shared" si="3"/>
        <v>7663.5</v>
      </c>
      <c r="F29" s="107">
        <f t="shared" si="3"/>
        <v>4279.6000000000004</v>
      </c>
      <c r="G29" s="107">
        <f t="shared" si="3"/>
        <v>2372.0499999999997</v>
      </c>
      <c r="H29" s="107">
        <f t="shared" si="3"/>
        <v>1827.2499999999998</v>
      </c>
      <c r="I29" s="107">
        <f t="shared" si="3"/>
        <v>1449.45</v>
      </c>
      <c r="J29" s="107">
        <f t="shared" si="3"/>
        <v>2402.3500000000004</v>
      </c>
      <c r="K29" s="107">
        <f t="shared" si="3"/>
        <v>4435.9000000000005</v>
      </c>
      <c r="L29" s="107">
        <f t="shared" si="3"/>
        <v>7072.8499999999995</v>
      </c>
      <c r="M29" s="107">
        <f t="shared" si="3"/>
        <v>4335.8999999999996</v>
      </c>
      <c r="N29" s="107">
        <f t="shared" si="3"/>
        <v>3446.1500000000005</v>
      </c>
      <c r="O29" s="107">
        <f t="shared" si="3"/>
        <v>1693.7</v>
      </c>
      <c r="P29" s="107">
        <f t="shared" si="3"/>
        <v>2901.7</v>
      </c>
      <c r="Q29" s="107">
        <f t="shared" si="3"/>
        <v>2369.5000000000005</v>
      </c>
      <c r="R29" s="107">
        <f t="shared" si="3"/>
        <v>4343.6000000000004</v>
      </c>
      <c r="S29" s="107">
        <f t="shared" si="3"/>
        <v>10853.75</v>
      </c>
      <c r="T29" s="107">
        <f t="shared" si="3"/>
        <v>10374.200000000001</v>
      </c>
      <c r="U29" s="107">
        <f t="shared" si="3"/>
        <v>0</v>
      </c>
      <c r="V29" s="107">
        <f t="shared" si="3"/>
        <v>4</v>
      </c>
      <c r="W29" s="107">
        <f t="shared" si="3"/>
        <v>216.75</v>
      </c>
      <c r="X29" s="107">
        <f t="shared" si="3"/>
        <v>0</v>
      </c>
      <c r="Y29" s="107">
        <f t="shared" si="3"/>
        <v>3</v>
      </c>
      <c r="Z29" s="107">
        <f t="shared" si="3"/>
        <v>12213.55</v>
      </c>
      <c r="AA29" s="107">
        <f t="shared" si="3"/>
        <v>6651.2</v>
      </c>
      <c r="AB29" s="107">
        <f t="shared" si="3"/>
        <v>2541.1499999999996</v>
      </c>
      <c r="AC29" s="107">
        <f t="shared" si="3"/>
        <v>1100.75</v>
      </c>
      <c r="AD29" s="107">
        <f t="shared" si="3"/>
        <v>3323.4</v>
      </c>
      <c r="AE29" s="107">
        <f t="shared" si="3"/>
        <v>1894.35</v>
      </c>
      <c r="AF29" s="107">
        <f t="shared" si="3"/>
        <v>0</v>
      </c>
      <c r="AG29" s="107">
        <f t="shared" si="3"/>
        <v>0</v>
      </c>
      <c r="AH29" s="109">
        <f>SUM(C3:AG28)</f>
        <v>105525.50000000003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2516.75</v>
      </c>
      <c r="D30" s="72">
        <v>3239.15</v>
      </c>
      <c r="E30" s="72">
        <v>7663.5</v>
      </c>
      <c r="F30" s="72">
        <v>4279.6000000000004</v>
      </c>
      <c r="G30" s="72">
        <v>2372.0500000000002</v>
      </c>
      <c r="H30" s="72">
        <v>1827.25</v>
      </c>
      <c r="I30" s="72">
        <v>1449.45</v>
      </c>
      <c r="J30" s="72">
        <v>2402.35</v>
      </c>
      <c r="K30" s="72">
        <v>4435.8999999999996</v>
      </c>
      <c r="L30" s="72">
        <v>7072.85</v>
      </c>
      <c r="M30" s="72">
        <v>4335.8999999999996</v>
      </c>
      <c r="N30" s="72">
        <v>3446.15</v>
      </c>
      <c r="O30" s="72">
        <v>1693.7</v>
      </c>
      <c r="P30" s="72">
        <v>2901.7</v>
      </c>
      <c r="Q30" s="72">
        <v>2369.5</v>
      </c>
      <c r="R30" s="72">
        <v>4343.6000000000004</v>
      </c>
      <c r="S30" s="72">
        <v>10853.75</v>
      </c>
      <c r="T30" s="72">
        <v>10374.200000000001</v>
      </c>
      <c r="U30" s="72"/>
      <c r="V30" s="72">
        <v>4</v>
      </c>
      <c r="W30" s="72">
        <v>216.75</v>
      </c>
      <c r="X30" s="72"/>
      <c r="Y30" s="72">
        <v>3</v>
      </c>
      <c r="Z30" s="72">
        <v>12213.55</v>
      </c>
      <c r="AA30" s="72">
        <v>6651.2</v>
      </c>
      <c r="AB30" s="72">
        <v>2541.15</v>
      </c>
      <c r="AC30" s="72">
        <v>1100.75</v>
      </c>
      <c r="AD30" s="72">
        <v>3323.4</v>
      </c>
      <c r="AE30" s="72">
        <v>1894.35</v>
      </c>
      <c r="AF30" s="72"/>
      <c r="AG30" s="72"/>
      <c r="AH30" s="191">
        <f>SUM(C30:AG30)</f>
        <v>105525.49999999999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0</v>
      </c>
      <c r="AI31" s="85"/>
      <c r="AJ31" s="506" t="s">
        <v>127</v>
      </c>
      <c r="AK31" s="507"/>
      <c r="AL31" s="507"/>
      <c r="AM31" s="508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2">
        <v>194.25</v>
      </c>
      <c r="D33" s="392">
        <v>262.8</v>
      </c>
      <c r="E33" s="392">
        <v>1617.5</v>
      </c>
      <c r="F33" s="392">
        <v>641.4</v>
      </c>
      <c r="G33" s="392">
        <v>561.29999999999995</v>
      </c>
      <c r="H33" s="392">
        <v>56</v>
      </c>
      <c r="I33" s="392">
        <v>316</v>
      </c>
      <c r="J33" s="392">
        <v>450.25</v>
      </c>
      <c r="K33" s="392">
        <v>630.29999999999995</v>
      </c>
      <c r="L33" s="392">
        <v>1010.3</v>
      </c>
      <c r="M33" s="392">
        <v>701.65</v>
      </c>
      <c r="N33" s="392">
        <v>670.25</v>
      </c>
      <c r="O33" s="392">
        <v>345.9</v>
      </c>
      <c r="P33" s="392">
        <v>351.55</v>
      </c>
      <c r="Q33" s="392">
        <v>476.5</v>
      </c>
      <c r="R33" s="392">
        <v>403.8</v>
      </c>
      <c r="S33" s="392">
        <v>1169.3</v>
      </c>
      <c r="T33" s="392">
        <v>1584.94</v>
      </c>
      <c r="U33" s="392"/>
      <c r="V33" s="392"/>
      <c r="W33" s="392"/>
      <c r="X33" s="392"/>
      <c r="Y33" s="392">
        <v>161</v>
      </c>
      <c r="Z33" s="392">
        <v>2034.75</v>
      </c>
      <c r="AA33" s="392">
        <v>1252.4000000000001</v>
      </c>
      <c r="AB33" s="392">
        <v>246.9</v>
      </c>
      <c r="AC33" s="392">
        <v>76.64</v>
      </c>
      <c r="AD33" s="393">
        <v>1110.7</v>
      </c>
      <c r="AE33" s="393">
        <v>298.5</v>
      </c>
      <c r="AF33" s="393"/>
      <c r="AG33" s="393"/>
      <c r="AH33" s="110">
        <f t="shared" ref="AH33:AH41" si="5">SUM(C33:AG33)</f>
        <v>16624.879999999997</v>
      </c>
      <c r="AJ33" s="137" t="s">
        <v>60</v>
      </c>
      <c r="AK33" s="138" t="s">
        <v>122</v>
      </c>
      <c r="AL33" s="386">
        <f>SUM(C33:AC33)+640.7</f>
        <v>15856.38</v>
      </c>
      <c r="AM33" s="387">
        <f>SUM(AE33:AG33)+470</f>
        <v>768.5</v>
      </c>
    </row>
    <row r="34" spans="1:40" x14ac:dyDescent="0.25">
      <c r="A34" s="90" t="s">
        <v>60</v>
      </c>
      <c r="B34" s="91" t="s">
        <v>55</v>
      </c>
      <c r="C34" s="389">
        <v>2322.5</v>
      </c>
      <c r="D34" s="389">
        <v>2976.15</v>
      </c>
      <c r="E34" s="389">
        <v>6046</v>
      </c>
      <c r="F34" s="389">
        <v>3603.95</v>
      </c>
      <c r="G34" s="389">
        <v>1802.75</v>
      </c>
      <c r="H34" s="389">
        <v>1771.25</v>
      </c>
      <c r="I34" s="389">
        <v>1133.45</v>
      </c>
      <c r="J34" s="389">
        <v>1952.35</v>
      </c>
      <c r="K34" s="389">
        <v>3805.6</v>
      </c>
      <c r="L34" s="389">
        <v>6060.55</v>
      </c>
      <c r="M34" s="389">
        <v>3583</v>
      </c>
      <c r="N34" s="389">
        <v>2775.9</v>
      </c>
      <c r="O34" s="389">
        <v>1348.5</v>
      </c>
      <c r="P34" s="389">
        <v>2548.15</v>
      </c>
      <c r="Q34" s="389">
        <v>1893</v>
      </c>
      <c r="R34" s="389">
        <v>3903.8</v>
      </c>
      <c r="S34" s="389">
        <v>9683.4500000000007</v>
      </c>
      <c r="T34" s="389">
        <v>8732.9</v>
      </c>
      <c r="U34" s="389"/>
      <c r="V34" s="389">
        <v>4</v>
      </c>
      <c r="W34" s="389">
        <v>216.75</v>
      </c>
      <c r="X34" s="389"/>
      <c r="Y34" s="389">
        <v>3</v>
      </c>
      <c r="Z34" s="389">
        <v>10181.799999999999</v>
      </c>
      <c r="AA34" s="391">
        <v>5367.85</v>
      </c>
      <c r="AB34" s="391">
        <v>2304.15</v>
      </c>
      <c r="AC34" s="391">
        <v>1025.75</v>
      </c>
      <c r="AD34" s="391">
        <v>2214.9</v>
      </c>
      <c r="AE34" s="391">
        <v>1595.85</v>
      </c>
      <c r="AF34" s="391"/>
      <c r="AG34" s="391"/>
      <c r="AH34" s="111">
        <f t="shared" si="5"/>
        <v>88857.3</v>
      </c>
      <c r="AJ34" s="129" t="s">
        <v>60</v>
      </c>
      <c r="AK34" s="130" t="s">
        <v>198</v>
      </c>
      <c r="AL34" s="290">
        <f>SUM(C34:Z34)-AL45</f>
        <v>73954.58</v>
      </c>
      <c r="AM34" s="291">
        <f>SUM(AA34:AG34)-AM45</f>
        <v>12118.42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>
        <v>52</v>
      </c>
      <c r="AE35" s="380"/>
      <c r="AF35" s="492"/>
      <c r="AG35" s="492"/>
      <c r="AH35" s="111">
        <f t="shared" si="5"/>
        <v>52</v>
      </c>
      <c r="AJ35" s="129" t="s">
        <v>60</v>
      </c>
      <c r="AK35" s="130" t="s">
        <v>123</v>
      </c>
      <c r="AL35" s="290">
        <f>SUM(C35:AE36)</f>
        <v>52</v>
      </c>
      <c r="AM35" s="291">
        <f>SUM(AF35:AG36)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0</v>
      </c>
      <c r="AJ37" s="129" t="s">
        <v>67</v>
      </c>
      <c r="AK37" s="130" t="s">
        <v>91</v>
      </c>
      <c r="AL37" s="269">
        <f>AH37</f>
        <v>0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/>
      <c r="E38" s="382"/>
      <c r="F38" s="382">
        <v>32</v>
      </c>
      <c r="G38" s="382"/>
      <c r="H38" s="382"/>
      <c r="I38" s="382"/>
      <c r="J38" s="382"/>
      <c r="K38" s="382"/>
      <c r="L38" s="382">
        <v>2</v>
      </c>
      <c r="M38" s="382">
        <v>52</v>
      </c>
      <c r="N38" s="382"/>
      <c r="O38" s="382"/>
      <c r="P38" s="382"/>
      <c r="Q38" s="382"/>
      <c r="R38" s="382">
        <v>36</v>
      </c>
      <c r="S38" s="382"/>
      <c r="T38" s="382">
        <v>52</v>
      </c>
      <c r="U38" s="382"/>
      <c r="V38" s="382"/>
      <c r="W38" s="382"/>
      <c r="X38" s="382"/>
      <c r="Y38" s="382"/>
      <c r="Z38" s="382"/>
      <c r="AA38" s="382">
        <v>36</v>
      </c>
      <c r="AB38" s="382"/>
      <c r="AC38" s="382"/>
      <c r="AD38" s="382"/>
      <c r="AE38" s="382"/>
      <c r="AF38" s="382"/>
      <c r="AG38" s="382"/>
      <c r="AH38" s="112">
        <f t="shared" si="5"/>
        <v>210</v>
      </c>
      <c r="AJ38" s="129" t="s">
        <v>109</v>
      </c>
      <c r="AK38" s="130" t="s">
        <v>156</v>
      </c>
      <c r="AL38" s="269">
        <f>AH38</f>
        <v>210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2516.75</v>
      </c>
      <c r="D39" s="107">
        <f t="shared" si="6"/>
        <v>3238.9500000000003</v>
      </c>
      <c r="E39" s="107">
        <f t="shared" si="6"/>
        <v>7663.5</v>
      </c>
      <c r="F39" s="107">
        <f t="shared" si="6"/>
        <v>4277.3499999999995</v>
      </c>
      <c r="G39" s="107">
        <f t="shared" si="6"/>
        <v>2364.0500000000002</v>
      </c>
      <c r="H39" s="107">
        <f t="shared" si="6"/>
        <v>1827.25</v>
      </c>
      <c r="I39" s="107">
        <f t="shared" si="6"/>
        <v>1449.45</v>
      </c>
      <c r="J39" s="107">
        <f t="shared" si="6"/>
        <v>2402.6</v>
      </c>
      <c r="K39" s="107">
        <f t="shared" si="6"/>
        <v>4435.8999999999996</v>
      </c>
      <c r="L39" s="107">
        <f t="shared" si="6"/>
        <v>7072.85</v>
      </c>
      <c r="M39" s="107">
        <f t="shared" si="6"/>
        <v>4336.6499999999996</v>
      </c>
      <c r="N39" s="107">
        <f t="shared" si="6"/>
        <v>3446.15</v>
      </c>
      <c r="O39" s="107">
        <f t="shared" si="6"/>
        <v>1694.4</v>
      </c>
      <c r="P39" s="107">
        <f t="shared" si="6"/>
        <v>2899.7000000000003</v>
      </c>
      <c r="Q39" s="107">
        <f t="shared" si="6"/>
        <v>2369.5</v>
      </c>
      <c r="R39" s="107">
        <f t="shared" si="6"/>
        <v>4343.6000000000004</v>
      </c>
      <c r="S39" s="107">
        <f t="shared" si="6"/>
        <v>10852.75</v>
      </c>
      <c r="T39" s="107">
        <f t="shared" si="6"/>
        <v>10369.84</v>
      </c>
      <c r="U39" s="107">
        <f t="shared" si="6"/>
        <v>0</v>
      </c>
      <c r="V39" s="107">
        <f t="shared" si="6"/>
        <v>4</v>
      </c>
      <c r="W39" s="107">
        <f t="shared" si="6"/>
        <v>216.75</v>
      </c>
      <c r="X39" s="107">
        <f t="shared" si="6"/>
        <v>0</v>
      </c>
      <c r="Y39" s="107">
        <f t="shared" si="6"/>
        <v>164</v>
      </c>
      <c r="Z39" s="107">
        <f t="shared" si="6"/>
        <v>12216.55</v>
      </c>
      <c r="AA39" s="107">
        <f t="shared" si="6"/>
        <v>6656.25</v>
      </c>
      <c r="AB39" s="107">
        <f t="shared" si="6"/>
        <v>2551.0500000000002</v>
      </c>
      <c r="AC39" s="107">
        <f t="shared" si="6"/>
        <v>1102.3900000000001</v>
      </c>
      <c r="AD39" s="107">
        <f t="shared" si="6"/>
        <v>3377.6000000000004</v>
      </c>
      <c r="AE39" s="107">
        <f t="shared" si="6"/>
        <v>1894.35</v>
      </c>
      <c r="AF39" s="107">
        <f t="shared" si="6"/>
        <v>0</v>
      </c>
      <c r="AG39" s="107">
        <f t="shared" si="6"/>
        <v>0</v>
      </c>
      <c r="AH39" s="110">
        <f t="shared" si="5"/>
        <v>105744.18000000001</v>
      </c>
      <c r="AI39" s="59"/>
      <c r="AJ39" s="502" t="s">
        <v>76</v>
      </c>
      <c r="AK39" s="503"/>
      <c r="AL39" s="504">
        <f>SUM(AL33:AM38)</f>
        <v>102959.87999999999</v>
      </c>
      <c r="AM39" s="505"/>
      <c r="AN39" s="273">
        <f>AL39-AH39+AL45+AM45+AL43</f>
        <v>-218.68000000001751</v>
      </c>
    </row>
    <row r="40" spans="1:40" x14ac:dyDescent="0.25">
      <c r="A40" s="203"/>
      <c r="B40" s="194" t="s">
        <v>104</v>
      </c>
      <c r="C40" s="72">
        <f>C30</f>
        <v>2516.75</v>
      </c>
      <c r="D40" s="72">
        <f t="shared" ref="D40:AG40" si="7">D30</f>
        <v>3239.15</v>
      </c>
      <c r="E40" s="72">
        <f t="shared" si="7"/>
        <v>7663.5</v>
      </c>
      <c r="F40" s="72">
        <f t="shared" si="7"/>
        <v>4279.6000000000004</v>
      </c>
      <c r="G40" s="72">
        <f t="shared" si="7"/>
        <v>2372.0500000000002</v>
      </c>
      <c r="H40" s="72">
        <f t="shared" si="7"/>
        <v>1827.25</v>
      </c>
      <c r="I40" s="72">
        <f t="shared" si="7"/>
        <v>1449.45</v>
      </c>
      <c r="J40" s="72">
        <f t="shared" si="7"/>
        <v>2402.35</v>
      </c>
      <c r="K40" s="72">
        <f t="shared" si="7"/>
        <v>4435.8999999999996</v>
      </c>
      <c r="L40" s="72">
        <f t="shared" si="7"/>
        <v>7072.85</v>
      </c>
      <c r="M40" s="72">
        <f t="shared" si="7"/>
        <v>4335.8999999999996</v>
      </c>
      <c r="N40" s="72">
        <f t="shared" si="7"/>
        <v>3446.15</v>
      </c>
      <c r="O40" s="72">
        <f t="shared" si="7"/>
        <v>1693.7</v>
      </c>
      <c r="P40" s="72">
        <f t="shared" si="7"/>
        <v>2901.7</v>
      </c>
      <c r="Q40" s="72">
        <f t="shared" si="7"/>
        <v>2369.5</v>
      </c>
      <c r="R40" s="72">
        <f t="shared" si="7"/>
        <v>4343.6000000000004</v>
      </c>
      <c r="S40" s="72">
        <f t="shared" si="7"/>
        <v>10853.75</v>
      </c>
      <c r="T40" s="72">
        <f t="shared" si="7"/>
        <v>10374.200000000001</v>
      </c>
      <c r="U40" s="72">
        <f t="shared" si="7"/>
        <v>0</v>
      </c>
      <c r="V40" s="72">
        <f t="shared" si="7"/>
        <v>4</v>
      </c>
      <c r="W40" s="72">
        <f t="shared" si="7"/>
        <v>216.75</v>
      </c>
      <c r="X40" s="72">
        <f t="shared" si="7"/>
        <v>0</v>
      </c>
      <c r="Y40" s="72">
        <f t="shared" si="7"/>
        <v>3</v>
      </c>
      <c r="Z40" s="72">
        <f t="shared" si="7"/>
        <v>12213.55</v>
      </c>
      <c r="AA40" s="72">
        <f t="shared" si="7"/>
        <v>6651.2</v>
      </c>
      <c r="AB40" s="72">
        <f t="shared" si="7"/>
        <v>2541.15</v>
      </c>
      <c r="AC40" s="72">
        <f t="shared" si="7"/>
        <v>1100.75</v>
      </c>
      <c r="AD40" s="72">
        <f t="shared" si="7"/>
        <v>3323.4</v>
      </c>
      <c r="AE40" s="72">
        <f t="shared" si="7"/>
        <v>1894.35</v>
      </c>
      <c r="AF40" s="72">
        <f t="shared" si="7"/>
        <v>0</v>
      </c>
      <c r="AG40" s="72">
        <f t="shared" si="7"/>
        <v>0</v>
      </c>
      <c r="AH40" s="111">
        <f t="shared" si="5"/>
        <v>105525.49999999999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0</v>
      </c>
      <c r="D41" s="133">
        <f>D39-D40</f>
        <v>-0.1999999999998181</v>
      </c>
      <c r="E41" s="133">
        <f>E39-E40</f>
        <v>0</v>
      </c>
      <c r="F41" s="133">
        <f t="shared" ref="F41:AG41" si="8">F39-F40</f>
        <v>-2.2500000000009095</v>
      </c>
      <c r="G41" s="133">
        <f t="shared" si="8"/>
        <v>-8</v>
      </c>
      <c r="H41" s="133">
        <f t="shared" si="8"/>
        <v>0</v>
      </c>
      <c r="I41" s="133">
        <f t="shared" si="8"/>
        <v>0</v>
      </c>
      <c r="J41" s="133">
        <f t="shared" si="8"/>
        <v>0.25</v>
      </c>
      <c r="K41" s="133">
        <f t="shared" si="8"/>
        <v>0</v>
      </c>
      <c r="L41" s="133">
        <f t="shared" si="8"/>
        <v>0</v>
      </c>
      <c r="M41" s="133">
        <f t="shared" si="8"/>
        <v>0.75</v>
      </c>
      <c r="N41" s="133">
        <f t="shared" si="8"/>
        <v>0</v>
      </c>
      <c r="O41" s="133">
        <f t="shared" si="8"/>
        <v>0.70000000000004547</v>
      </c>
      <c r="P41" s="133">
        <f t="shared" si="8"/>
        <v>-1.9999999999995453</v>
      </c>
      <c r="Q41" s="133">
        <f t="shared" si="8"/>
        <v>0</v>
      </c>
      <c r="R41" s="133">
        <f t="shared" si="8"/>
        <v>0</v>
      </c>
      <c r="S41" s="133">
        <f t="shared" si="8"/>
        <v>-1</v>
      </c>
      <c r="T41" s="133">
        <f t="shared" si="8"/>
        <v>-4.3600000000005821</v>
      </c>
      <c r="U41" s="133">
        <f t="shared" si="8"/>
        <v>0</v>
      </c>
      <c r="V41" s="133">
        <f t="shared" si="8"/>
        <v>0</v>
      </c>
      <c r="W41" s="133">
        <f t="shared" si="8"/>
        <v>0</v>
      </c>
      <c r="X41" s="133">
        <f t="shared" si="8"/>
        <v>0</v>
      </c>
      <c r="Y41" s="133">
        <f t="shared" si="8"/>
        <v>161</v>
      </c>
      <c r="Z41" s="133">
        <f t="shared" si="8"/>
        <v>3</v>
      </c>
      <c r="AA41" s="133">
        <f t="shared" si="8"/>
        <v>5.0500000000001819</v>
      </c>
      <c r="AB41" s="133">
        <f t="shared" si="8"/>
        <v>9.9000000000000909</v>
      </c>
      <c r="AC41" s="133">
        <f t="shared" si="8"/>
        <v>1.6400000000001</v>
      </c>
      <c r="AD41" s="133">
        <f t="shared" si="8"/>
        <v>54.200000000000273</v>
      </c>
      <c r="AE41" s="133">
        <f t="shared" si="8"/>
        <v>0</v>
      </c>
      <c r="AF41" s="133">
        <f t="shared" si="8"/>
        <v>0</v>
      </c>
      <c r="AG41" s="133">
        <f t="shared" si="8"/>
        <v>0</v>
      </c>
      <c r="AH41" s="112">
        <f t="shared" si="5"/>
        <v>218.67999999999984</v>
      </c>
      <c r="AJ41" s="377">
        <f>AH39-AH40</f>
        <v>218.68000000002212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9">SUM(C3:C28)-SUM(C33:C38)</f>
        <v>0</v>
      </c>
      <c r="D43" s="114">
        <f t="shared" si="9"/>
        <v>0.1999999999998181</v>
      </c>
      <c r="E43" s="114">
        <f t="shared" si="9"/>
        <v>0</v>
      </c>
      <c r="F43" s="114">
        <f t="shared" si="9"/>
        <v>2.2500000000009095</v>
      </c>
      <c r="G43" s="114">
        <f t="shared" si="9"/>
        <v>7.9999999999995453</v>
      </c>
      <c r="H43" s="114">
        <f t="shared" si="9"/>
        <v>0</v>
      </c>
      <c r="I43" s="114">
        <f t="shared" si="9"/>
        <v>0</v>
      </c>
      <c r="J43" s="114">
        <f t="shared" si="9"/>
        <v>-0.24999999999954525</v>
      </c>
      <c r="K43" s="114">
        <f t="shared" si="9"/>
        <v>0</v>
      </c>
      <c r="L43" s="114">
        <f t="shared" si="9"/>
        <v>0</v>
      </c>
      <c r="M43" s="114">
        <f t="shared" si="9"/>
        <v>-0.75</v>
      </c>
      <c r="N43" s="114">
        <f t="shared" si="9"/>
        <v>0</v>
      </c>
      <c r="O43" s="114">
        <f t="shared" si="9"/>
        <v>-0.70000000000004547</v>
      </c>
      <c r="P43" s="114">
        <f t="shared" si="9"/>
        <v>1.9999999999995453</v>
      </c>
      <c r="Q43" s="114">
        <f t="shared" si="9"/>
        <v>0</v>
      </c>
      <c r="R43" s="114">
        <f t="shared" si="9"/>
        <v>0</v>
      </c>
      <c r="S43" s="114">
        <f t="shared" si="9"/>
        <v>1</v>
      </c>
      <c r="T43" s="114">
        <f t="shared" si="9"/>
        <v>4.3600000000005821</v>
      </c>
      <c r="U43" s="114">
        <f t="shared" si="9"/>
        <v>0</v>
      </c>
      <c r="V43" s="114">
        <f t="shared" si="9"/>
        <v>0</v>
      </c>
      <c r="W43" s="114">
        <f t="shared" si="9"/>
        <v>0</v>
      </c>
      <c r="X43" s="114">
        <f t="shared" si="9"/>
        <v>0</v>
      </c>
      <c r="Y43" s="114">
        <f t="shared" si="9"/>
        <v>-161</v>
      </c>
      <c r="Z43" s="114">
        <f t="shared" si="9"/>
        <v>-3</v>
      </c>
      <c r="AA43" s="114">
        <f t="shared" si="9"/>
        <v>-5.0500000000001819</v>
      </c>
      <c r="AB43" s="114">
        <f t="shared" si="9"/>
        <v>-9.9000000000005457</v>
      </c>
      <c r="AC43" s="114">
        <f t="shared" si="9"/>
        <v>-1.6400000000001</v>
      </c>
      <c r="AD43" s="114">
        <f t="shared" si="9"/>
        <v>-54.200000000000273</v>
      </c>
      <c r="AE43" s="114">
        <f t="shared" si="9"/>
        <v>0</v>
      </c>
      <c r="AF43" s="114">
        <f t="shared" si="9"/>
        <v>0</v>
      </c>
      <c r="AG43" s="114">
        <f t="shared" si="9"/>
        <v>0</v>
      </c>
      <c r="AH43" s="115">
        <f>SUM(C43:AG43)</f>
        <v>-218.68000000000029</v>
      </c>
      <c r="AI43" s="62"/>
      <c r="AJ43" s="211" t="s">
        <v>32</v>
      </c>
      <c r="AK43" s="212" t="s">
        <v>90</v>
      </c>
      <c r="AL43" s="271">
        <f>AH43</f>
        <v>-218.68000000000029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475">
        <f>AL39+AL43+AM43+AL45+AM45</f>
        <v>105525.49999999999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212">
        <v>72.400000000000006</v>
      </c>
      <c r="D45" s="212">
        <v>95.27</v>
      </c>
      <c r="E45" s="212">
        <v>192.55</v>
      </c>
      <c r="F45" s="212">
        <v>112.36</v>
      </c>
      <c r="G45" s="212">
        <v>56.19</v>
      </c>
      <c r="H45" s="212">
        <v>57.98</v>
      </c>
      <c r="I45" s="212">
        <v>35.35</v>
      </c>
      <c r="J45" s="465">
        <v>62</v>
      </c>
      <c r="K45" s="212">
        <v>118.63</v>
      </c>
      <c r="L45" s="212">
        <v>189.03</v>
      </c>
      <c r="M45" s="212">
        <v>111.73</v>
      </c>
      <c r="N45" s="465">
        <v>88.2</v>
      </c>
      <c r="O45" s="212">
        <v>42.24</v>
      </c>
      <c r="P45" s="212">
        <v>79.42</v>
      </c>
      <c r="Q45" s="212">
        <v>58.99</v>
      </c>
      <c r="R45" s="212">
        <v>121.75</v>
      </c>
      <c r="S45" s="212">
        <v>302.74</v>
      </c>
      <c r="T45" s="212">
        <v>272.39</v>
      </c>
      <c r="U45" s="212"/>
      <c r="V45" s="212">
        <v>0.12</v>
      </c>
      <c r="W45" s="212">
        <v>6.76</v>
      </c>
      <c r="X45" s="212"/>
      <c r="Y45" s="212">
        <v>0.09</v>
      </c>
      <c r="Z45" s="212">
        <v>318.02999999999997</v>
      </c>
      <c r="AA45" s="493">
        <v>167.37</v>
      </c>
      <c r="AB45" s="493">
        <v>71.88</v>
      </c>
      <c r="AC45" s="493">
        <v>32.01</v>
      </c>
      <c r="AD45" s="493">
        <v>69.08</v>
      </c>
      <c r="AE45" s="493">
        <v>49.74</v>
      </c>
      <c r="AF45" s="493"/>
      <c r="AG45" s="494"/>
      <c r="AH45" s="115">
        <f>SUM(C45:AG45)</f>
        <v>2784.3</v>
      </c>
      <c r="AI45" s="62"/>
      <c r="AJ45" s="211" t="s">
        <v>196</v>
      </c>
      <c r="AK45" s="212" t="s">
        <v>197</v>
      </c>
      <c r="AL45" s="271">
        <f>SUM(C45:Z45)</f>
        <v>2394.2200000000003</v>
      </c>
      <c r="AM45" s="495">
        <f>SUM(AA45:AG45)</f>
        <v>390.08</v>
      </c>
      <c r="AN45" s="274"/>
    </row>
    <row r="46" spans="1:40" s="102" customFormat="1" ht="16.5" thickBot="1" x14ac:dyDescent="0.3">
      <c r="A46" s="224"/>
      <c r="B46" s="225" t="s">
        <v>232</v>
      </c>
      <c r="C46" s="479">
        <f>C34-C45</f>
        <v>2250.1</v>
      </c>
      <c r="D46" s="479">
        <f t="shared" ref="D46:AG46" si="10">D34-D45</f>
        <v>2880.88</v>
      </c>
      <c r="E46" s="479">
        <f t="shared" si="10"/>
        <v>5853.45</v>
      </c>
      <c r="F46" s="479">
        <f t="shared" si="10"/>
        <v>3491.5899999999997</v>
      </c>
      <c r="G46" s="479">
        <f t="shared" si="10"/>
        <v>1746.56</v>
      </c>
      <c r="H46" s="479">
        <f t="shared" si="10"/>
        <v>1713.27</v>
      </c>
      <c r="I46" s="479">
        <f t="shared" si="10"/>
        <v>1098.1000000000001</v>
      </c>
      <c r="J46" s="479">
        <f t="shared" si="10"/>
        <v>1890.35</v>
      </c>
      <c r="K46" s="479">
        <f t="shared" si="10"/>
        <v>3686.97</v>
      </c>
      <c r="L46" s="479">
        <f t="shared" si="10"/>
        <v>5871.52</v>
      </c>
      <c r="M46" s="479">
        <f t="shared" si="10"/>
        <v>3471.27</v>
      </c>
      <c r="N46" s="479">
        <f t="shared" si="10"/>
        <v>2687.7000000000003</v>
      </c>
      <c r="O46" s="479">
        <f t="shared" si="10"/>
        <v>1306.26</v>
      </c>
      <c r="P46" s="479">
        <f t="shared" si="10"/>
        <v>2468.73</v>
      </c>
      <c r="Q46" s="479">
        <f t="shared" si="10"/>
        <v>1834.01</v>
      </c>
      <c r="R46" s="479">
        <f t="shared" si="10"/>
        <v>3782.05</v>
      </c>
      <c r="S46" s="479">
        <f t="shared" si="10"/>
        <v>9380.7100000000009</v>
      </c>
      <c r="T46" s="479">
        <f t="shared" si="10"/>
        <v>8460.51</v>
      </c>
      <c r="U46" s="479">
        <f t="shared" si="10"/>
        <v>0</v>
      </c>
      <c r="V46" s="479">
        <f t="shared" si="10"/>
        <v>3.88</v>
      </c>
      <c r="W46" s="479">
        <f t="shared" si="10"/>
        <v>209.99</v>
      </c>
      <c r="X46" s="479">
        <f t="shared" si="10"/>
        <v>0</v>
      </c>
      <c r="Y46" s="479">
        <f t="shared" si="10"/>
        <v>2.91</v>
      </c>
      <c r="Z46" s="479">
        <f t="shared" si="10"/>
        <v>9863.7699999999986</v>
      </c>
      <c r="AA46" s="479">
        <f t="shared" si="10"/>
        <v>5200.4800000000005</v>
      </c>
      <c r="AB46" s="479">
        <f t="shared" si="10"/>
        <v>2232.27</v>
      </c>
      <c r="AC46" s="479">
        <f t="shared" si="10"/>
        <v>993.74</v>
      </c>
      <c r="AD46" s="479">
        <f t="shared" si="10"/>
        <v>2145.8200000000002</v>
      </c>
      <c r="AE46" s="479">
        <f t="shared" si="10"/>
        <v>1546.11</v>
      </c>
      <c r="AF46" s="479">
        <f t="shared" si="10"/>
        <v>0</v>
      </c>
      <c r="AG46" s="479">
        <f t="shared" si="10"/>
        <v>0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89</v>
      </c>
      <c r="D47" s="84">
        <v>102</v>
      </c>
      <c r="E47" s="84">
        <v>339</v>
      </c>
      <c r="F47" s="84">
        <v>204</v>
      </c>
      <c r="G47" s="84">
        <v>81</v>
      </c>
      <c r="H47" s="84">
        <v>3</v>
      </c>
      <c r="I47" s="84">
        <v>55</v>
      </c>
      <c r="J47" s="84">
        <v>97</v>
      </c>
      <c r="K47" s="84">
        <v>142</v>
      </c>
      <c r="L47" s="84">
        <v>298</v>
      </c>
      <c r="M47" s="84">
        <v>156</v>
      </c>
      <c r="N47" s="84">
        <v>107</v>
      </c>
      <c r="O47" s="84">
        <v>44</v>
      </c>
      <c r="P47" s="84">
        <v>121</v>
      </c>
      <c r="Q47" s="84">
        <v>88</v>
      </c>
      <c r="R47" s="84">
        <v>180</v>
      </c>
      <c r="S47" s="84">
        <v>520</v>
      </c>
      <c r="T47" s="84">
        <v>498</v>
      </c>
      <c r="U47" s="84"/>
      <c r="V47" s="84"/>
      <c r="W47" s="84"/>
      <c r="X47" s="84"/>
      <c r="Y47" s="84"/>
      <c r="Z47" s="84">
        <v>527</v>
      </c>
      <c r="AA47" s="84">
        <v>319</v>
      </c>
      <c r="AB47" s="84">
        <v>97</v>
      </c>
      <c r="AC47" s="84">
        <v>25</v>
      </c>
      <c r="AD47" s="84">
        <v>60</v>
      </c>
      <c r="AE47" s="84">
        <v>105</v>
      </c>
      <c r="AF47" s="84"/>
      <c r="AG47" s="84"/>
      <c r="AH47" s="103">
        <f>SUM(C47:AG47)</f>
        <v>4257</v>
      </c>
      <c r="AJ47" s="126">
        <f>AH47</f>
        <v>4257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50</v>
      </c>
      <c r="D48" s="94">
        <v>53</v>
      </c>
      <c r="E48" s="94">
        <v>45</v>
      </c>
      <c r="F48" s="94">
        <v>95</v>
      </c>
      <c r="G48" s="94">
        <v>57</v>
      </c>
      <c r="H48" s="94">
        <v>6</v>
      </c>
      <c r="I48" s="94">
        <v>27</v>
      </c>
      <c r="J48" s="94">
        <v>57</v>
      </c>
      <c r="K48" s="94">
        <v>50</v>
      </c>
      <c r="L48" s="94">
        <v>66</v>
      </c>
      <c r="M48" s="94">
        <v>68</v>
      </c>
      <c r="N48" s="94">
        <v>39</v>
      </c>
      <c r="O48" s="94">
        <v>24</v>
      </c>
      <c r="P48" s="94">
        <v>43</v>
      </c>
      <c r="Q48" s="94">
        <v>30</v>
      </c>
      <c r="R48" s="94">
        <v>64</v>
      </c>
      <c r="S48" s="94">
        <v>89</v>
      </c>
      <c r="T48" s="94">
        <v>92</v>
      </c>
      <c r="U48" s="94"/>
      <c r="V48" s="94"/>
      <c r="W48" s="94"/>
      <c r="X48" s="94"/>
      <c r="Y48" s="94"/>
      <c r="Z48" s="94">
        <v>129</v>
      </c>
      <c r="AA48" s="94">
        <v>85</v>
      </c>
      <c r="AB48" s="94">
        <v>48</v>
      </c>
      <c r="AC48" s="94">
        <v>8</v>
      </c>
      <c r="AD48" s="94">
        <v>60</v>
      </c>
      <c r="AE48" s="94">
        <v>50</v>
      </c>
      <c r="AF48" s="94"/>
      <c r="AG48" s="94"/>
      <c r="AH48" s="105">
        <f>SUM(C48:AG48)</f>
        <v>1335</v>
      </c>
      <c r="AJ48" s="135">
        <f>AH48</f>
        <v>1335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139</v>
      </c>
      <c r="D50" s="212">
        <f t="shared" ref="D50:AG50" si="11">D47+D48</f>
        <v>155</v>
      </c>
      <c r="E50" s="212">
        <f t="shared" si="11"/>
        <v>384</v>
      </c>
      <c r="F50" s="212">
        <f t="shared" si="11"/>
        <v>299</v>
      </c>
      <c r="G50" s="212">
        <f t="shared" si="11"/>
        <v>138</v>
      </c>
      <c r="H50" s="212">
        <f t="shared" si="11"/>
        <v>9</v>
      </c>
      <c r="I50" s="212">
        <f t="shared" si="11"/>
        <v>82</v>
      </c>
      <c r="J50" s="212">
        <f t="shared" si="11"/>
        <v>154</v>
      </c>
      <c r="K50" s="212">
        <f t="shared" si="11"/>
        <v>192</v>
      </c>
      <c r="L50" s="212">
        <f t="shared" si="11"/>
        <v>364</v>
      </c>
      <c r="M50" s="212">
        <f t="shared" si="11"/>
        <v>224</v>
      </c>
      <c r="N50" s="212">
        <f t="shared" si="11"/>
        <v>146</v>
      </c>
      <c r="O50" s="212">
        <f t="shared" si="11"/>
        <v>68</v>
      </c>
      <c r="P50" s="212">
        <f t="shared" si="11"/>
        <v>164</v>
      </c>
      <c r="Q50" s="212">
        <f t="shared" si="11"/>
        <v>118</v>
      </c>
      <c r="R50" s="212">
        <f t="shared" si="11"/>
        <v>244</v>
      </c>
      <c r="S50" s="212">
        <f t="shared" si="11"/>
        <v>609</v>
      </c>
      <c r="T50" s="212">
        <f t="shared" si="11"/>
        <v>590</v>
      </c>
      <c r="U50" s="212">
        <f t="shared" si="11"/>
        <v>0</v>
      </c>
      <c r="V50" s="212">
        <f t="shared" si="11"/>
        <v>0</v>
      </c>
      <c r="W50" s="212">
        <f t="shared" si="11"/>
        <v>0</v>
      </c>
      <c r="X50" s="212">
        <f t="shared" si="11"/>
        <v>0</v>
      </c>
      <c r="Y50" s="212">
        <f t="shared" si="11"/>
        <v>0</v>
      </c>
      <c r="Z50" s="212">
        <f t="shared" si="11"/>
        <v>656</v>
      </c>
      <c r="AA50" s="212">
        <f t="shared" si="11"/>
        <v>404</v>
      </c>
      <c r="AB50" s="212">
        <f t="shared" si="11"/>
        <v>145</v>
      </c>
      <c r="AC50" s="212">
        <f t="shared" si="11"/>
        <v>33</v>
      </c>
      <c r="AD50" s="212">
        <f t="shared" si="11"/>
        <v>120</v>
      </c>
      <c r="AE50" s="212">
        <f t="shared" si="11"/>
        <v>155</v>
      </c>
      <c r="AF50" s="212">
        <f t="shared" si="11"/>
        <v>0</v>
      </c>
      <c r="AG50" s="281">
        <f t="shared" si="11"/>
        <v>0</v>
      </c>
      <c r="AH50" s="280">
        <f>SUM(C50:AG50)</f>
        <v>5592</v>
      </c>
      <c r="AJ50" s="211">
        <f>AH50</f>
        <v>5592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10.575539568345324</v>
      </c>
      <c r="D52" s="215">
        <f t="shared" ref="D52:AG52" si="12">IF(D50&lt;=1,0,IF(D50&gt;=0,(SUM(D4+D5)/D50)))</f>
        <v>11.228387096774194</v>
      </c>
      <c r="E52" s="215">
        <f t="shared" si="12"/>
        <v>18.072916666666668</v>
      </c>
      <c r="F52" s="215">
        <f t="shared" si="12"/>
        <v>11.443478260869565</v>
      </c>
      <c r="G52" s="215">
        <f t="shared" si="12"/>
        <v>10.447826086956521</v>
      </c>
      <c r="H52" s="215">
        <f t="shared" si="12"/>
        <v>-3.8888888888888888</v>
      </c>
      <c r="I52" s="215">
        <f t="shared" si="12"/>
        <v>11.575609756097561</v>
      </c>
      <c r="J52" s="215">
        <f t="shared" si="12"/>
        <v>13.010389610389609</v>
      </c>
      <c r="K52" s="215">
        <f t="shared" si="12"/>
        <v>14.720833333333333</v>
      </c>
      <c r="L52" s="215">
        <f t="shared" si="12"/>
        <v>14.90989010989011</v>
      </c>
      <c r="M52" s="215">
        <f t="shared" si="12"/>
        <v>13.010714285714286</v>
      </c>
      <c r="N52" s="215">
        <f t="shared" si="12"/>
        <v>11.619178082191782</v>
      </c>
      <c r="O52" s="215">
        <f t="shared" si="12"/>
        <v>9.6235294117647054</v>
      </c>
      <c r="P52" s="215">
        <f t="shared" si="12"/>
        <v>12.629268292682926</v>
      </c>
      <c r="Q52" s="215">
        <f t="shared" si="12"/>
        <v>15.220338983050848</v>
      </c>
      <c r="R52" s="215">
        <f t="shared" si="12"/>
        <v>11.645901639344261</v>
      </c>
      <c r="S52" s="215">
        <f t="shared" si="12"/>
        <v>15.097536945812807</v>
      </c>
      <c r="T52" s="215">
        <f t="shared" si="12"/>
        <v>15.681694915254239</v>
      </c>
      <c r="U52" s="215">
        <f t="shared" si="12"/>
        <v>0</v>
      </c>
      <c r="V52" s="215">
        <f t="shared" si="12"/>
        <v>0</v>
      </c>
      <c r="W52" s="215">
        <f t="shared" si="12"/>
        <v>0</v>
      </c>
      <c r="X52" s="215">
        <f t="shared" si="12"/>
        <v>0</v>
      </c>
      <c r="Y52" s="215">
        <f t="shared" si="12"/>
        <v>0</v>
      </c>
      <c r="Z52" s="215">
        <f t="shared" si="12"/>
        <v>16.141463414634146</v>
      </c>
      <c r="AA52" s="215">
        <f t="shared" si="12"/>
        <v>13.889108910891089</v>
      </c>
      <c r="AB52" s="215">
        <f t="shared" si="12"/>
        <v>10.910344827586206</v>
      </c>
      <c r="AC52" s="215">
        <f t="shared" si="12"/>
        <v>8.6515151515151523</v>
      </c>
      <c r="AD52" s="215">
        <f t="shared" si="12"/>
        <v>10.120000000000001</v>
      </c>
      <c r="AE52" s="215">
        <f t="shared" si="12"/>
        <v>11.055483870967741</v>
      </c>
      <c r="AF52" s="215">
        <f t="shared" si="12"/>
        <v>0</v>
      </c>
      <c r="AG52" s="215">
        <f t="shared" si="12"/>
        <v>0</v>
      </c>
      <c r="AH52" s="280">
        <f>IFERROR(AVERAGEIF(C52:AG52, "&lt;&gt;0"),)</f>
        <v>11.974669180493507</v>
      </c>
      <c r="AJ52" s="221">
        <f>AH52</f>
        <v>11.974669180493507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16.516853932584269</v>
      </c>
      <c r="D54" s="242">
        <f t="shared" ref="D54:AG54" si="13">IF(D47&lt;=1,0,IF(D47&gt;=0,(SUM(D4+D5)/D47)))</f>
        <v>17.062745098039215</v>
      </c>
      <c r="E54" s="242">
        <f t="shared" si="13"/>
        <v>20.471976401179941</v>
      </c>
      <c r="F54" s="242">
        <f t="shared" si="13"/>
        <v>16.772549019607844</v>
      </c>
      <c r="G54" s="242">
        <f t="shared" si="13"/>
        <v>17.8</v>
      </c>
      <c r="H54" s="242">
        <f t="shared" si="13"/>
        <v>-11.666666666666666</v>
      </c>
      <c r="I54" s="242">
        <f t="shared" si="13"/>
        <v>17.258181818181818</v>
      </c>
      <c r="J54" s="242">
        <f t="shared" si="13"/>
        <v>20.655670103092781</v>
      </c>
      <c r="K54" s="242">
        <f t="shared" si="13"/>
        <v>19.904225352112675</v>
      </c>
      <c r="L54" s="242">
        <f t="shared" si="13"/>
        <v>18.212080536912751</v>
      </c>
      <c r="M54" s="242">
        <f t="shared" si="13"/>
        <v>18.682051282051283</v>
      </c>
      <c r="N54" s="242">
        <f t="shared" si="13"/>
        <v>15.854205607476636</v>
      </c>
      <c r="O54" s="242">
        <f t="shared" si="13"/>
        <v>14.872727272727273</v>
      </c>
      <c r="P54" s="242">
        <f t="shared" si="13"/>
        <v>17.117355371900825</v>
      </c>
      <c r="Q54" s="242">
        <f t="shared" si="13"/>
        <v>20.40909090909091</v>
      </c>
      <c r="R54" s="242">
        <f t="shared" si="13"/>
        <v>15.786666666666665</v>
      </c>
      <c r="S54" s="242">
        <f t="shared" si="13"/>
        <v>17.681538461538462</v>
      </c>
      <c r="T54" s="242">
        <f t="shared" si="13"/>
        <v>18.578714859437753</v>
      </c>
      <c r="U54" s="242">
        <f t="shared" si="13"/>
        <v>0</v>
      </c>
      <c r="V54" s="242">
        <f t="shared" si="13"/>
        <v>0</v>
      </c>
      <c r="W54" s="242">
        <f t="shared" si="13"/>
        <v>0</v>
      </c>
      <c r="X54" s="242">
        <f t="shared" si="13"/>
        <v>0</v>
      </c>
      <c r="Y54" s="242">
        <f t="shared" si="13"/>
        <v>0</v>
      </c>
      <c r="Z54" s="242">
        <f t="shared" si="13"/>
        <v>20.092599620493356</v>
      </c>
      <c r="AA54" s="242">
        <f t="shared" si="13"/>
        <v>17.589968652037616</v>
      </c>
      <c r="AB54" s="242">
        <f t="shared" si="13"/>
        <v>16.309278350515463</v>
      </c>
      <c r="AC54" s="242">
        <f t="shared" si="13"/>
        <v>11.42</v>
      </c>
      <c r="AD54" s="242">
        <f t="shared" si="13"/>
        <v>20.240000000000002</v>
      </c>
      <c r="AE54" s="242">
        <f t="shared" si="13"/>
        <v>16.32</v>
      </c>
      <c r="AF54" s="242">
        <f t="shared" si="13"/>
        <v>0</v>
      </c>
      <c r="AG54" s="242">
        <f t="shared" si="13"/>
        <v>0</v>
      </c>
      <c r="AH54" s="279">
        <f>IFERROR(AVERAGEIF(C54:AG54, "&lt;&gt;0"),)</f>
        <v>16.414242193707537</v>
      </c>
      <c r="AI54" s="243"/>
      <c r="AJ54" s="244">
        <f>AH54</f>
        <v>16.414242193707537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91">
        <v>99</v>
      </c>
      <c r="D57" s="91">
        <v>99</v>
      </c>
      <c r="E57" s="91">
        <v>98</v>
      </c>
      <c r="F57" s="91">
        <v>98</v>
      </c>
      <c r="G57" s="91">
        <v>98</v>
      </c>
      <c r="H57" s="91" t="s">
        <v>236</v>
      </c>
      <c r="I57" s="91">
        <v>98</v>
      </c>
      <c r="J57" s="91">
        <v>98</v>
      </c>
      <c r="K57" s="91">
        <v>98</v>
      </c>
      <c r="L57" s="91">
        <v>98</v>
      </c>
      <c r="M57" s="91">
        <v>98</v>
      </c>
      <c r="N57" s="91">
        <v>98</v>
      </c>
      <c r="O57" s="91" t="s">
        <v>236</v>
      </c>
      <c r="P57" s="91">
        <v>99</v>
      </c>
      <c r="Q57" s="91">
        <v>98</v>
      </c>
      <c r="R57" s="91">
        <v>98</v>
      </c>
      <c r="S57" s="91">
        <v>98</v>
      </c>
      <c r="T57" s="91">
        <v>98</v>
      </c>
      <c r="U57" s="91" t="s">
        <v>236</v>
      </c>
      <c r="V57" s="91" t="s">
        <v>236</v>
      </c>
      <c r="W57" s="91" t="s">
        <v>236</v>
      </c>
      <c r="X57" s="91" t="s">
        <v>236</v>
      </c>
      <c r="Y57" s="91" t="s">
        <v>236</v>
      </c>
      <c r="Z57" s="91">
        <v>98</v>
      </c>
      <c r="AA57" s="91">
        <v>98</v>
      </c>
      <c r="AB57" s="91">
        <v>98</v>
      </c>
      <c r="AC57" s="91" t="s">
        <v>236</v>
      </c>
      <c r="AD57" s="91">
        <v>98</v>
      </c>
      <c r="AE57" s="91">
        <v>98</v>
      </c>
      <c r="AF57" s="91"/>
      <c r="AG57" s="91"/>
      <c r="AH57" s="302">
        <f>IFERROR(AVERAGEIF(C57:AG57,"&lt;&gt;0"),)</f>
        <v>98.142857142857139</v>
      </c>
      <c r="AJ57" s="303">
        <f>AH57</f>
        <v>98.142857142857139</v>
      </c>
      <c r="AK57" s="304" t="s">
        <v>133</v>
      </c>
    </row>
    <row r="58" spans="1:37" x14ac:dyDescent="0.25">
      <c r="A58" s="90"/>
      <c r="B58" s="301" t="s">
        <v>155</v>
      </c>
      <c r="C58" s="91" t="s">
        <v>236</v>
      </c>
      <c r="D58" s="91" t="s">
        <v>236</v>
      </c>
      <c r="E58" s="91" t="s">
        <v>236</v>
      </c>
      <c r="F58" s="91" t="s">
        <v>236</v>
      </c>
      <c r="G58" s="91" t="s">
        <v>236</v>
      </c>
      <c r="H58" s="91" t="s">
        <v>236</v>
      </c>
      <c r="I58" s="91" t="s">
        <v>236</v>
      </c>
      <c r="J58" s="91" t="s">
        <v>236</v>
      </c>
      <c r="K58" s="91" t="s">
        <v>236</v>
      </c>
      <c r="L58" s="91" t="s">
        <v>236</v>
      </c>
      <c r="M58" s="91" t="s">
        <v>236</v>
      </c>
      <c r="N58" s="91" t="s">
        <v>236</v>
      </c>
      <c r="O58" s="91" t="s">
        <v>236</v>
      </c>
      <c r="P58" s="91" t="s">
        <v>236</v>
      </c>
      <c r="Q58" s="91" t="s">
        <v>236</v>
      </c>
      <c r="R58" s="91" t="s">
        <v>236</v>
      </c>
      <c r="S58" s="91" t="s">
        <v>236</v>
      </c>
      <c r="T58" s="91" t="s">
        <v>236</v>
      </c>
      <c r="U58" s="91" t="s">
        <v>236</v>
      </c>
      <c r="V58" s="91" t="s">
        <v>236</v>
      </c>
      <c r="W58" s="91" t="s">
        <v>236</v>
      </c>
      <c r="X58" s="91" t="s">
        <v>236</v>
      </c>
      <c r="Y58" s="91" t="s">
        <v>236</v>
      </c>
      <c r="Z58" s="91" t="s">
        <v>236</v>
      </c>
      <c r="AA58" s="91" t="s">
        <v>236</v>
      </c>
      <c r="AB58" s="91" t="s">
        <v>236</v>
      </c>
      <c r="AC58" s="91" t="s">
        <v>236</v>
      </c>
      <c r="AD58" s="91" t="s">
        <v>236</v>
      </c>
      <c r="AE58" s="91" t="s">
        <v>236</v>
      </c>
      <c r="AF58" s="91"/>
      <c r="AG58" s="91"/>
      <c r="AH58" s="302">
        <f>IFERROR(AVERAGEIF(C58:AG58,"&lt;&gt;0"),)</f>
        <v>0</v>
      </c>
      <c r="AJ58" s="305">
        <f>AH58</f>
        <v>0</v>
      </c>
      <c r="AK58" s="306" t="s">
        <v>134</v>
      </c>
    </row>
    <row r="59" spans="1:37" x14ac:dyDescent="0.25">
      <c r="A59" s="90"/>
      <c r="B59" s="301" t="s">
        <v>135</v>
      </c>
      <c r="C59" s="301">
        <v>82</v>
      </c>
      <c r="D59" s="301">
        <v>82</v>
      </c>
      <c r="E59" s="301">
        <v>80</v>
      </c>
      <c r="F59" s="301">
        <v>78</v>
      </c>
      <c r="G59" s="301">
        <v>78</v>
      </c>
      <c r="H59" s="301">
        <v>79</v>
      </c>
      <c r="I59" s="301">
        <v>80</v>
      </c>
      <c r="J59" s="301">
        <v>78</v>
      </c>
      <c r="K59" s="301">
        <v>79</v>
      </c>
      <c r="L59" s="301">
        <v>76</v>
      </c>
      <c r="M59" s="301">
        <v>76</v>
      </c>
      <c r="N59" s="301">
        <v>77</v>
      </c>
      <c r="O59" s="301">
        <v>78</v>
      </c>
      <c r="P59" s="301">
        <v>80</v>
      </c>
      <c r="Q59" s="301">
        <v>78</v>
      </c>
      <c r="R59" s="301">
        <v>77</v>
      </c>
      <c r="S59" s="301"/>
      <c r="T59" s="301">
        <v>75</v>
      </c>
      <c r="U59" s="91" t="s">
        <v>236</v>
      </c>
      <c r="V59" s="91" t="s">
        <v>236</v>
      </c>
      <c r="W59" s="91" t="s">
        <v>236</v>
      </c>
      <c r="X59" s="91" t="s">
        <v>236</v>
      </c>
      <c r="Y59" s="91" t="s">
        <v>236</v>
      </c>
      <c r="Z59" s="301">
        <v>84</v>
      </c>
      <c r="AA59" s="301">
        <v>82</v>
      </c>
      <c r="AB59" s="301">
        <v>82</v>
      </c>
      <c r="AC59" s="91" t="s">
        <v>236</v>
      </c>
      <c r="AD59" s="301">
        <v>76</v>
      </c>
      <c r="AE59" s="301">
        <v>78</v>
      </c>
      <c r="AF59" s="301"/>
      <c r="AG59" s="301"/>
      <c r="AH59" s="302">
        <f>IFERROR(AVERAGEIF(C59:AG59,"&lt;&gt;0"),)</f>
        <v>78.86363636363636</v>
      </c>
      <c r="AJ59" s="305">
        <f>AH59</f>
        <v>78.86363636363636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>IFERROR(AVERAGEIF(C60:AG60,"&lt;&gt;0"),)</f>
        <v>0</v>
      </c>
      <c r="AJ60" s="310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60" orientation="landscape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9"/>
      <c r="B1" s="510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45323</v>
      </c>
      <c r="B2" s="355" t="str">
        <f>TEXT(A2,"ddd")</f>
        <v>Thu</v>
      </c>
      <c r="C2" s="321">
        <f>TRANSPOSE(Pool!C4:AG4)</f>
        <v>1470</v>
      </c>
      <c r="D2" s="321">
        <f t="array" ref="D2:D32">TRANSPOSE(Pool!C9:AG9)</f>
        <v>0</v>
      </c>
      <c r="E2" s="321">
        <f t="array" ref="E2:E32">TRANSPOSE(Pool!C14:AG14)</f>
        <v>8</v>
      </c>
      <c r="F2" s="321">
        <f t="array" ref="F2:F32">TRANSPOSE(Pool!C15:AG15)</f>
        <v>83.89</v>
      </c>
      <c r="G2" s="321">
        <f t="array" ref="G2:G32">TRANSPOSE(Pool!C16:AG16)</f>
        <v>0</v>
      </c>
      <c r="H2" s="321">
        <f>TRANSPOSE(Pool!C18:AG18)</f>
        <v>747.5</v>
      </c>
      <c r="I2" s="324">
        <f t="array" ref="I2:I32">TRANSPOSE(Pool!C20:AG20)</f>
        <v>0</v>
      </c>
      <c r="J2" s="327"/>
      <c r="K2" s="328">
        <f t="array" ref="K2:K32">TRANSPOSE(Pool!C57:AG57)</f>
        <v>99</v>
      </c>
      <c r="L2" s="331" t="str">
        <f t="array" ref="L2:L32">TRANSPOSE(Pool!C58:AG58)</f>
        <v>closed</v>
      </c>
      <c r="M2" s="334">
        <f t="array" ref="M2:M32">TRANSPOSE(Pool!C59:AG59)</f>
        <v>82</v>
      </c>
      <c r="N2" s="327"/>
      <c r="O2" s="338">
        <f t="array" ref="O2:O32">TRANSPOSE(Pool!C50:AG50)</f>
        <v>139</v>
      </c>
    </row>
    <row r="3" spans="1:15" x14ac:dyDescent="0.25">
      <c r="A3" s="341">
        <f t="shared" ref="A3:A32" si="0">SUM(A2+1)</f>
        <v>45324</v>
      </c>
      <c r="B3" s="356" t="str">
        <f>TEXT(A3,"ddd")</f>
        <v>Fri</v>
      </c>
      <c r="C3" s="322">
        <f>TRANSPOSE(Pool!C9:AG9)</f>
        <v>0</v>
      </c>
      <c r="D3" s="322">
        <v>0</v>
      </c>
      <c r="E3" s="322">
        <v>8</v>
      </c>
      <c r="F3" s="322">
        <v>151.88</v>
      </c>
      <c r="G3" s="322">
        <v>0</v>
      </c>
      <c r="H3" s="322">
        <f>TRANSPOSE(Pool!C19:AG19)</f>
        <v>0</v>
      </c>
      <c r="I3" s="325">
        <v>0</v>
      </c>
      <c r="J3" s="327"/>
      <c r="K3" s="329">
        <v>99</v>
      </c>
      <c r="L3" s="332" t="str">
        <v>closed</v>
      </c>
      <c r="M3" s="335">
        <v>82</v>
      </c>
      <c r="N3" s="327"/>
      <c r="O3" s="339">
        <v>155</v>
      </c>
    </row>
    <row r="4" spans="1:15" x14ac:dyDescent="0.25">
      <c r="A4" s="341">
        <f t="shared" si="0"/>
        <v>45325</v>
      </c>
      <c r="B4" s="356" t="str">
        <f>TEXT(A4,"DDD")</f>
        <v>Sat</v>
      </c>
      <c r="C4" s="322">
        <f>TRANSPOSE(Pool!C5:AG5)</f>
        <v>0</v>
      </c>
      <c r="D4" s="322">
        <v>0</v>
      </c>
      <c r="E4" s="322">
        <v>0</v>
      </c>
      <c r="F4" s="322">
        <v>436.22</v>
      </c>
      <c r="G4" s="322">
        <v>0</v>
      </c>
      <c r="H4" s="322">
        <f>TRANSPOSE(Pool!C21:AG21)</f>
        <v>0</v>
      </c>
      <c r="I4" s="325">
        <v>0</v>
      </c>
      <c r="J4" s="327"/>
      <c r="K4" s="329">
        <v>98</v>
      </c>
      <c r="L4" s="332" t="str">
        <v>closed</v>
      </c>
      <c r="M4" s="335">
        <v>80</v>
      </c>
      <c r="N4" s="327"/>
      <c r="O4" s="339">
        <v>384</v>
      </c>
    </row>
    <row r="5" spans="1:15" x14ac:dyDescent="0.25">
      <c r="A5" s="341">
        <f t="shared" si="0"/>
        <v>45326</v>
      </c>
      <c r="B5" s="356" t="str">
        <f>TEXT(A5,"ddd")</f>
        <v>Sun</v>
      </c>
      <c r="C5" s="322">
        <f>TRANSPOSE(Pool!C6:AG6)</f>
        <v>126</v>
      </c>
      <c r="D5" s="322">
        <v>0</v>
      </c>
      <c r="E5" s="322">
        <v>4</v>
      </c>
      <c r="F5" s="322">
        <v>118.75</v>
      </c>
      <c r="G5" s="322">
        <v>0</v>
      </c>
      <c r="H5" s="322">
        <f>TRANSPOSE(Pool!C20:AG20)</f>
        <v>0</v>
      </c>
      <c r="I5" s="325">
        <v>0</v>
      </c>
      <c r="J5" s="327"/>
      <c r="K5" s="329">
        <v>98</v>
      </c>
      <c r="L5" s="332" t="str">
        <v>closed</v>
      </c>
      <c r="M5" s="335">
        <v>78</v>
      </c>
      <c r="N5" s="327"/>
      <c r="O5" s="339">
        <v>299</v>
      </c>
    </row>
    <row r="6" spans="1:15" x14ac:dyDescent="0.25">
      <c r="A6" s="341">
        <f t="shared" si="0"/>
        <v>45327</v>
      </c>
      <c r="B6" s="356" t="str">
        <f>TEXT(A6,"DDD")</f>
        <v>Mon</v>
      </c>
      <c r="C6" s="322">
        <f>TRANSPOSE(Pool!C7:AG7)</f>
        <v>820</v>
      </c>
      <c r="D6" s="322">
        <v>0</v>
      </c>
      <c r="E6" s="322">
        <v>12</v>
      </c>
      <c r="F6" s="322">
        <v>115.1</v>
      </c>
      <c r="G6" s="322">
        <v>0</v>
      </c>
      <c r="H6" s="322">
        <f>TRANSPOSE(Pool!C22:AG22)</f>
        <v>0</v>
      </c>
      <c r="I6" s="325">
        <v>0</v>
      </c>
      <c r="J6" s="327"/>
      <c r="K6" s="329">
        <v>98</v>
      </c>
      <c r="L6" s="332" t="str">
        <v>closed</v>
      </c>
      <c r="M6" s="335">
        <v>78</v>
      </c>
      <c r="N6" s="327"/>
      <c r="O6" s="339">
        <v>138</v>
      </c>
    </row>
    <row r="7" spans="1:15" x14ac:dyDescent="0.25">
      <c r="A7" s="341">
        <f t="shared" si="0"/>
        <v>45328</v>
      </c>
      <c r="B7" s="356" t="str">
        <f>TEXT(A7,"ddd")</f>
        <v>Tue</v>
      </c>
      <c r="C7" s="322">
        <f>TRANSPOSE(Pool!C8:AG8)</f>
        <v>0</v>
      </c>
      <c r="D7" s="322">
        <v>0</v>
      </c>
      <c r="E7" s="322">
        <v>4</v>
      </c>
      <c r="F7" s="322">
        <v>6.82</v>
      </c>
      <c r="G7" s="322">
        <v>0</v>
      </c>
      <c r="H7" s="322">
        <f>TRANSPOSE(Pool!C23:AG23)</f>
        <v>0</v>
      </c>
      <c r="I7" s="325">
        <v>0</v>
      </c>
      <c r="J7" s="327"/>
      <c r="K7" s="329" t="str">
        <v>closed</v>
      </c>
      <c r="L7" s="332" t="str">
        <v>closed</v>
      </c>
      <c r="M7" s="335">
        <v>79</v>
      </c>
      <c r="N7" s="327"/>
      <c r="O7" s="339">
        <v>9</v>
      </c>
    </row>
    <row r="8" spans="1:15" x14ac:dyDescent="0.25">
      <c r="A8" s="341">
        <f t="shared" si="0"/>
        <v>45329</v>
      </c>
      <c r="B8" s="356" t="str">
        <f>TEXT(A8,"DDD")</f>
        <v>Wed</v>
      </c>
      <c r="C8" s="322">
        <f>TRANSPOSE(Pool!C10:AG10)</f>
        <v>0</v>
      </c>
      <c r="D8" s="322">
        <v>0</v>
      </c>
      <c r="E8" s="322">
        <v>0</v>
      </c>
      <c r="F8" s="322">
        <v>104.14</v>
      </c>
      <c r="G8" s="322">
        <v>0</v>
      </c>
      <c r="H8" s="322">
        <f>TRANSPOSE(Pool!C24:AG24)</f>
        <v>0</v>
      </c>
      <c r="I8" s="325">
        <v>0</v>
      </c>
      <c r="J8" s="327"/>
      <c r="K8" s="329">
        <v>98</v>
      </c>
      <c r="L8" s="332" t="str">
        <v>closed</v>
      </c>
      <c r="M8" s="335">
        <v>80</v>
      </c>
      <c r="N8" s="327"/>
      <c r="O8" s="339">
        <v>82</v>
      </c>
    </row>
    <row r="9" spans="1:15" x14ac:dyDescent="0.25">
      <c r="A9" s="341">
        <f t="shared" si="0"/>
        <v>45330</v>
      </c>
      <c r="B9" s="356" t="str">
        <f>TEXT(A9,"ddd")</f>
        <v>Thu</v>
      </c>
      <c r="C9" s="322">
        <f>TRANSPOSE(Pool!C11:AG11)</f>
        <v>0</v>
      </c>
      <c r="D9" s="322">
        <v>0</v>
      </c>
      <c r="E9" s="322">
        <v>4</v>
      </c>
      <c r="F9" s="322">
        <v>108.01</v>
      </c>
      <c r="G9" s="322">
        <v>0</v>
      </c>
      <c r="H9" s="322">
        <f>TRANSPOSE(Pool!C25:AG25)</f>
        <v>0</v>
      </c>
      <c r="I9" s="325">
        <v>0</v>
      </c>
      <c r="J9" s="327"/>
      <c r="K9" s="329">
        <v>98</v>
      </c>
      <c r="L9" s="332" t="str">
        <v>closed</v>
      </c>
      <c r="M9" s="336">
        <v>78</v>
      </c>
      <c r="N9" s="327"/>
      <c r="O9" s="339">
        <v>154</v>
      </c>
    </row>
    <row r="10" spans="1:15" x14ac:dyDescent="0.25">
      <c r="A10" s="341">
        <f t="shared" si="0"/>
        <v>45331</v>
      </c>
      <c r="B10" s="356" t="str">
        <f>TEXT(A10,"DDD")</f>
        <v>Fri</v>
      </c>
      <c r="C10" s="322">
        <f>TRANSPOSE(Pool!C12:AG12)</f>
        <v>0</v>
      </c>
      <c r="D10" s="322">
        <v>0</v>
      </c>
      <c r="E10" s="322">
        <v>245</v>
      </c>
      <c r="F10" s="322">
        <v>158.56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98</v>
      </c>
      <c r="L10" s="332" t="str">
        <v>closed</v>
      </c>
      <c r="M10" s="335">
        <v>79</v>
      </c>
      <c r="N10" s="327"/>
      <c r="O10" s="339">
        <v>192</v>
      </c>
    </row>
    <row r="11" spans="1:15" x14ac:dyDescent="0.25">
      <c r="A11" s="341">
        <f t="shared" si="0"/>
        <v>45332</v>
      </c>
      <c r="B11" s="356" t="str">
        <f>TEXT(A11,"ddd")</f>
        <v>Sat</v>
      </c>
      <c r="C11" s="322">
        <f>TRANSPOSE(Pool!C13:AG13)</f>
        <v>0</v>
      </c>
      <c r="D11" s="322">
        <v>0</v>
      </c>
      <c r="E11" s="322">
        <v>4</v>
      </c>
      <c r="F11" s="322">
        <v>270.27999999999997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98</v>
      </c>
      <c r="L11" s="332" t="str">
        <v>closed</v>
      </c>
      <c r="M11" s="335">
        <v>76</v>
      </c>
      <c r="N11" s="327"/>
      <c r="O11" s="339">
        <v>364</v>
      </c>
    </row>
    <row r="12" spans="1:15" x14ac:dyDescent="0.25">
      <c r="A12" s="341">
        <f t="shared" si="0"/>
        <v>45333</v>
      </c>
      <c r="B12" s="356" t="str">
        <f>TEXT(A12,"DDD")</f>
        <v>Sun</v>
      </c>
      <c r="C12" s="322">
        <f>TRANSPOSE(Pool!C14:AG14)</f>
        <v>8</v>
      </c>
      <c r="D12" s="322">
        <v>0</v>
      </c>
      <c r="E12" s="322">
        <v>0</v>
      </c>
      <c r="F12" s="322">
        <v>181.78</v>
      </c>
      <c r="G12" s="322">
        <v>0</v>
      </c>
      <c r="H12" s="322">
        <f>TRANSPOSE(Pool!C28:AG28)</f>
        <v>0</v>
      </c>
      <c r="I12" s="325">
        <v>0</v>
      </c>
      <c r="J12" s="327"/>
      <c r="K12" s="329">
        <v>98</v>
      </c>
      <c r="L12" s="332" t="str">
        <v>closed</v>
      </c>
      <c r="M12" s="335">
        <v>76</v>
      </c>
      <c r="N12" s="327"/>
      <c r="O12" s="339">
        <v>224</v>
      </c>
    </row>
    <row r="13" spans="1:15" x14ac:dyDescent="0.25">
      <c r="A13" s="341">
        <f t="shared" si="0"/>
        <v>45334</v>
      </c>
      <c r="B13" s="356" t="str">
        <f>TEXT(A13,"ddd")</f>
        <v>Mon</v>
      </c>
      <c r="C13" s="322">
        <f>TRANSPOSE(Pool!C15:AG15)</f>
        <v>83.89</v>
      </c>
      <c r="D13" s="322">
        <v>0</v>
      </c>
      <c r="E13" s="322">
        <v>8</v>
      </c>
      <c r="F13" s="322">
        <v>128.09</v>
      </c>
      <c r="G13" s="322">
        <v>0</v>
      </c>
      <c r="H13" s="322">
        <f>TRANSPOSE(Pool!C29:AG29)</f>
        <v>1827.2499999999998</v>
      </c>
      <c r="I13" s="325">
        <v>0</v>
      </c>
      <c r="J13" s="327"/>
      <c r="K13" s="329">
        <v>98</v>
      </c>
      <c r="L13" s="332" t="str">
        <v>closed</v>
      </c>
      <c r="M13" s="335">
        <v>77</v>
      </c>
      <c r="N13" s="327"/>
      <c r="O13" s="339">
        <v>146</v>
      </c>
    </row>
    <row r="14" spans="1:15" x14ac:dyDescent="0.25">
      <c r="A14" s="341">
        <f t="shared" si="0"/>
        <v>45335</v>
      </c>
      <c r="B14" s="356" t="str">
        <f>TEXT(A14,"DDD")</f>
        <v>Tue</v>
      </c>
      <c r="C14" s="322">
        <f>TRANSPOSE(Pool!C16:AG16)</f>
        <v>0</v>
      </c>
      <c r="D14" s="322">
        <v>0</v>
      </c>
      <c r="E14" s="322">
        <v>0</v>
      </c>
      <c r="F14" s="322">
        <v>39.65</v>
      </c>
      <c r="G14" s="322">
        <v>0</v>
      </c>
      <c r="H14" s="322">
        <f>TRANSPOSE(Pool!C30:AG30)</f>
        <v>1827.25</v>
      </c>
      <c r="I14" s="325">
        <v>0</v>
      </c>
      <c r="J14" s="327"/>
      <c r="K14" s="329" t="str">
        <v>closed</v>
      </c>
      <c r="L14" s="332" t="str">
        <v>closed</v>
      </c>
      <c r="M14" s="335">
        <v>78</v>
      </c>
      <c r="N14" s="327"/>
      <c r="O14" s="339">
        <v>68</v>
      </c>
    </row>
    <row r="15" spans="1:15" x14ac:dyDescent="0.25">
      <c r="A15" s="341">
        <f t="shared" si="0"/>
        <v>45336</v>
      </c>
      <c r="B15" s="356" t="str">
        <f>TEXT(A15,"ddd")</f>
        <v>Wed</v>
      </c>
      <c r="C15" s="322">
        <f>TRANSPOSE(Pool!C18:AG18)</f>
        <v>0</v>
      </c>
      <c r="D15" s="322">
        <v>0</v>
      </c>
      <c r="E15" s="322">
        <v>12</v>
      </c>
      <c r="F15" s="322">
        <v>107.58</v>
      </c>
      <c r="G15" s="322">
        <v>0</v>
      </c>
      <c r="H15" s="322">
        <f>TRANSPOSE(Pool!C31:AG31)</f>
        <v>0</v>
      </c>
      <c r="I15" s="325">
        <v>0</v>
      </c>
      <c r="J15" s="327"/>
      <c r="K15" s="329">
        <v>99</v>
      </c>
      <c r="L15" s="332" t="str">
        <v>closed</v>
      </c>
      <c r="M15" s="335">
        <v>80</v>
      </c>
      <c r="N15" s="327"/>
      <c r="O15" s="339">
        <v>164</v>
      </c>
    </row>
    <row r="16" spans="1:15" x14ac:dyDescent="0.25">
      <c r="A16" s="341">
        <f t="shared" si="0"/>
        <v>45337</v>
      </c>
      <c r="B16" s="356" t="str">
        <f>TEXT(A16,"DDD")</f>
        <v>Thu</v>
      </c>
      <c r="C16" s="322">
        <f>TRANSPOSE(Pool!C19:AG19)</f>
        <v>0</v>
      </c>
      <c r="D16" s="322">
        <v>0</v>
      </c>
      <c r="E16" s="322">
        <v>0</v>
      </c>
      <c r="F16" s="322">
        <v>107.82</v>
      </c>
      <c r="G16" s="322">
        <v>0</v>
      </c>
      <c r="H16" s="322">
        <f>TRANSPOSE(Pool!C32:AG32)</f>
        <v>0</v>
      </c>
      <c r="I16" s="325">
        <v>0</v>
      </c>
      <c r="J16" s="327"/>
      <c r="K16" s="329">
        <v>98</v>
      </c>
      <c r="L16" s="332" t="str">
        <v>closed</v>
      </c>
      <c r="M16" s="335">
        <v>78</v>
      </c>
      <c r="N16" s="327"/>
      <c r="O16" s="339">
        <v>118</v>
      </c>
    </row>
    <row r="17" spans="1:15" x14ac:dyDescent="0.25">
      <c r="A17" s="341">
        <f t="shared" si="0"/>
        <v>45338</v>
      </c>
      <c r="B17" s="356" t="str">
        <f>TEXT(A17,"ddd")</f>
        <v>Fri</v>
      </c>
      <c r="C17" s="322">
        <f>TRANSPOSE(Pool!C21:AG21)</f>
        <v>0</v>
      </c>
      <c r="D17" s="322">
        <v>0</v>
      </c>
      <c r="E17" s="322">
        <v>0</v>
      </c>
      <c r="F17" s="322">
        <v>160.1</v>
      </c>
      <c r="G17" s="322">
        <v>0</v>
      </c>
      <c r="H17" s="322">
        <f>TRANSPOSE(Pool!C33:AG33)</f>
        <v>56</v>
      </c>
      <c r="I17" s="325">
        <v>0</v>
      </c>
      <c r="J17" s="327"/>
      <c r="K17" s="329">
        <v>98</v>
      </c>
      <c r="L17" s="332" t="str">
        <v>closed</v>
      </c>
      <c r="M17" s="335">
        <v>77</v>
      </c>
      <c r="N17" s="327"/>
      <c r="O17" s="339">
        <v>244</v>
      </c>
    </row>
    <row r="18" spans="1:15" x14ac:dyDescent="0.25">
      <c r="A18" s="341">
        <f t="shared" si="0"/>
        <v>45339</v>
      </c>
      <c r="B18" s="356" t="str">
        <f>TEXT(A18,"DDD")</f>
        <v>Sat</v>
      </c>
      <c r="C18" s="322">
        <f>TRANSPOSE(Pool!C20:AG20)</f>
        <v>0</v>
      </c>
      <c r="D18" s="322">
        <v>0</v>
      </c>
      <c r="E18" s="322">
        <v>0</v>
      </c>
      <c r="F18" s="322">
        <v>399.29</v>
      </c>
      <c r="G18" s="322">
        <v>0</v>
      </c>
      <c r="H18" s="322">
        <f>TRANSPOSE(Pool!C34:AG34)</f>
        <v>1771.25</v>
      </c>
      <c r="I18" s="325">
        <v>0</v>
      </c>
      <c r="J18" s="327"/>
      <c r="K18" s="329">
        <v>98</v>
      </c>
      <c r="L18" s="332" t="str">
        <v>closed</v>
      </c>
      <c r="M18" s="335">
        <v>0</v>
      </c>
      <c r="N18" s="327"/>
      <c r="O18" s="339">
        <v>609</v>
      </c>
    </row>
    <row r="19" spans="1:15" x14ac:dyDescent="0.25">
      <c r="A19" s="341">
        <f t="shared" si="0"/>
        <v>45340</v>
      </c>
      <c r="B19" s="356" t="str">
        <f>TEXT(A19,"ddd")</f>
        <v>Sun</v>
      </c>
      <c r="C19" s="322">
        <f>TRANSPOSE(Pool!C22:AG22)</f>
        <v>0</v>
      </c>
      <c r="D19" s="322">
        <v>0</v>
      </c>
      <c r="E19" s="322">
        <v>223</v>
      </c>
      <c r="F19" s="322">
        <v>488.77</v>
      </c>
      <c r="G19" s="322">
        <v>0</v>
      </c>
      <c r="H19" s="322">
        <f>TRANSPOSE(Pool!C35:AG35)</f>
        <v>0</v>
      </c>
      <c r="I19" s="325">
        <v>0</v>
      </c>
      <c r="J19" s="327"/>
      <c r="K19" s="329">
        <v>98</v>
      </c>
      <c r="L19" s="332" t="str">
        <v>closed</v>
      </c>
      <c r="M19" s="335">
        <v>75</v>
      </c>
      <c r="N19" s="327"/>
      <c r="O19" s="339">
        <v>590</v>
      </c>
    </row>
    <row r="20" spans="1:15" x14ac:dyDescent="0.25">
      <c r="A20" s="341">
        <f t="shared" si="0"/>
        <v>45341</v>
      </c>
      <c r="B20" s="356" t="str">
        <f>TEXT(A20,"DDD")</f>
        <v>Mon</v>
      </c>
      <c r="C20" s="322">
        <f>TRANSPOSE(Pool!C23:AG23)</f>
        <v>0</v>
      </c>
      <c r="D20" s="322">
        <v>0</v>
      </c>
      <c r="E20" s="322">
        <v>0</v>
      </c>
      <c r="F20" s="322">
        <v>0</v>
      </c>
      <c r="G20" s="322">
        <v>0</v>
      </c>
      <c r="H20" s="322">
        <f>TRANSPOSE(Pool!C36:AG36)</f>
        <v>0</v>
      </c>
      <c r="I20" s="325">
        <v>0</v>
      </c>
      <c r="J20" s="327"/>
      <c r="K20" s="329" t="str">
        <v>closed</v>
      </c>
      <c r="L20" s="332" t="str">
        <v>closed</v>
      </c>
      <c r="M20" s="335" t="str">
        <v>closed</v>
      </c>
      <c r="N20" s="327"/>
      <c r="O20" s="339">
        <v>0</v>
      </c>
    </row>
    <row r="21" spans="1:15" x14ac:dyDescent="0.25">
      <c r="A21" s="341">
        <f t="shared" si="0"/>
        <v>45342</v>
      </c>
      <c r="B21" s="356" t="str">
        <f>TEXT(A21,"ddd")</f>
        <v>Tue</v>
      </c>
      <c r="C21" s="322">
        <f>TRANSPOSE(Pool!C24:AG24)</f>
        <v>0</v>
      </c>
      <c r="D21" s="322">
        <v>0</v>
      </c>
      <c r="E21" s="322">
        <v>0</v>
      </c>
      <c r="F21" s="322">
        <v>3.66</v>
      </c>
      <c r="G21" s="322">
        <v>0</v>
      </c>
      <c r="H21" s="322">
        <f>TRANSPOSE(Pool!C37:AG37)</f>
        <v>0</v>
      </c>
      <c r="I21" s="325">
        <v>0</v>
      </c>
      <c r="J21" s="327"/>
      <c r="K21" s="329" t="str">
        <v>closed</v>
      </c>
      <c r="L21" s="332" t="str">
        <v>closed</v>
      </c>
      <c r="M21" s="335" t="str">
        <v>closed</v>
      </c>
      <c r="N21" s="327"/>
      <c r="O21" s="339">
        <v>0</v>
      </c>
    </row>
    <row r="22" spans="1:15" x14ac:dyDescent="0.25">
      <c r="A22" s="341">
        <f t="shared" si="0"/>
        <v>45343</v>
      </c>
      <c r="B22" s="356" t="str">
        <f>TEXT(A22,"DDD")</f>
        <v>Wed</v>
      </c>
      <c r="C22" s="322">
        <f>TRANSPOSE(Pool!C25:AG25)</f>
        <v>0</v>
      </c>
      <c r="D22" s="322">
        <v>0</v>
      </c>
      <c r="E22" s="322">
        <v>0</v>
      </c>
      <c r="F22" s="322">
        <v>5.58</v>
      </c>
      <c r="G22" s="322">
        <v>0</v>
      </c>
      <c r="H22" s="322">
        <f>TRANSPOSE(Pool!C38:AG38)</f>
        <v>0</v>
      </c>
      <c r="I22" s="325">
        <v>0</v>
      </c>
      <c r="J22" s="327"/>
      <c r="K22" s="329" t="str">
        <v>closed</v>
      </c>
      <c r="L22" s="332" t="str">
        <v>closed</v>
      </c>
      <c r="M22" s="335" t="str">
        <v>closed</v>
      </c>
      <c r="N22" s="327"/>
      <c r="O22" s="339">
        <v>0</v>
      </c>
    </row>
    <row r="23" spans="1:15" x14ac:dyDescent="0.25">
      <c r="A23" s="341">
        <f t="shared" si="0"/>
        <v>45344</v>
      </c>
      <c r="B23" s="356" t="str">
        <f>TEXT(A23,"ddd")</f>
        <v>Thu</v>
      </c>
      <c r="C23" s="322">
        <f>TRANSPOSE(Pool!C26:AG26)</f>
        <v>0</v>
      </c>
      <c r="D23" s="322">
        <v>0</v>
      </c>
      <c r="E23" s="322">
        <v>0</v>
      </c>
      <c r="F23" s="322">
        <v>0</v>
      </c>
      <c r="G23" s="322">
        <v>0</v>
      </c>
      <c r="H23" s="322">
        <f>TRANSPOSE(Pool!C39:AG39)</f>
        <v>1827.25</v>
      </c>
      <c r="I23" s="325">
        <v>0</v>
      </c>
      <c r="J23" s="327"/>
      <c r="K23" s="329" t="str">
        <v>closed</v>
      </c>
      <c r="L23" s="332" t="str">
        <v>closed</v>
      </c>
      <c r="M23" s="335" t="str">
        <v>closed</v>
      </c>
      <c r="N23" s="327"/>
      <c r="O23" s="339">
        <v>0</v>
      </c>
    </row>
    <row r="24" spans="1:15" x14ac:dyDescent="0.25">
      <c r="A24" s="341">
        <f t="shared" si="0"/>
        <v>45345</v>
      </c>
      <c r="B24" s="356" t="str">
        <f>TEXT(A24,"DDD")</f>
        <v>Fri</v>
      </c>
      <c r="C24" s="322">
        <f>TRANSPOSE(Pool!C27:AG27)</f>
        <v>0</v>
      </c>
      <c r="D24" s="322">
        <v>0</v>
      </c>
      <c r="E24" s="322">
        <v>0</v>
      </c>
      <c r="F24" s="322">
        <v>2.48</v>
      </c>
      <c r="G24" s="322">
        <v>0</v>
      </c>
      <c r="H24" s="322">
        <f>TRANSPOSE(Pool!C40:AG40)</f>
        <v>1827.25</v>
      </c>
      <c r="I24" s="325">
        <v>0</v>
      </c>
      <c r="J24" s="327"/>
      <c r="K24" s="329" t="str">
        <v>closed</v>
      </c>
      <c r="L24" s="332" t="str">
        <v>closed</v>
      </c>
      <c r="M24" s="335" t="str">
        <v>closed</v>
      </c>
      <c r="N24" s="327"/>
      <c r="O24" s="339">
        <v>0</v>
      </c>
    </row>
    <row r="25" spans="1:15" x14ac:dyDescent="0.25">
      <c r="A25" s="341">
        <f t="shared" si="0"/>
        <v>45346</v>
      </c>
      <c r="B25" s="356" t="str">
        <f>TEXT(A25,"ddd")</f>
        <v>Sat</v>
      </c>
      <c r="C25" s="322">
        <f>TRANSPOSE(Pool!C28:AG28)</f>
        <v>0</v>
      </c>
      <c r="D25" s="322">
        <v>0</v>
      </c>
      <c r="E25" s="322">
        <v>0</v>
      </c>
      <c r="F25" s="322">
        <v>327.61</v>
      </c>
      <c r="G25" s="322">
        <v>0</v>
      </c>
      <c r="H25" s="322">
        <f>TRANSPOSE(Pool!C41:AG41)</f>
        <v>0</v>
      </c>
      <c r="I25" s="325">
        <v>0</v>
      </c>
      <c r="J25" s="327"/>
      <c r="K25" s="329">
        <v>98</v>
      </c>
      <c r="L25" s="332" t="str">
        <v>closed</v>
      </c>
      <c r="M25" s="335">
        <v>84</v>
      </c>
      <c r="N25" s="327"/>
      <c r="O25" s="339">
        <v>656</v>
      </c>
    </row>
    <row r="26" spans="1:15" x14ac:dyDescent="0.25">
      <c r="A26" s="341">
        <f t="shared" si="0"/>
        <v>45347</v>
      </c>
      <c r="B26" s="356" t="str">
        <f>TEXT(A26,"DDD")</f>
        <v>Sun</v>
      </c>
      <c r="C26" s="322">
        <f>TRANSPOSE(Pool!C29:AG29)</f>
        <v>2516.7499999999995</v>
      </c>
      <c r="D26" s="322">
        <v>0</v>
      </c>
      <c r="E26" s="322">
        <v>109</v>
      </c>
      <c r="F26" s="322">
        <v>310.95999999999998</v>
      </c>
      <c r="G26" s="322">
        <v>0</v>
      </c>
      <c r="H26" s="322">
        <f>TRANSPOSE(Pool!C42:AG42)</f>
        <v>0</v>
      </c>
      <c r="I26" s="325">
        <v>0</v>
      </c>
      <c r="J26" s="327"/>
      <c r="K26" s="329">
        <v>98</v>
      </c>
      <c r="L26" s="332" t="str">
        <v>closed</v>
      </c>
      <c r="M26" s="335">
        <v>82</v>
      </c>
      <c r="N26" s="327"/>
      <c r="O26" s="339">
        <v>404</v>
      </c>
    </row>
    <row r="27" spans="1:15" x14ac:dyDescent="0.25">
      <c r="A27" s="341">
        <f t="shared" si="0"/>
        <v>45348</v>
      </c>
      <c r="B27" s="356" t="str">
        <f>TEXT(A27,"ddd")</f>
        <v>Mon</v>
      </c>
      <c r="C27" s="322">
        <f>TRANSPOSE(Pool!C30:AG30)</f>
        <v>2516.75</v>
      </c>
      <c r="D27" s="322">
        <v>0</v>
      </c>
      <c r="E27" s="322">
        <v>12</v>
      </c>
      <c r="F27" s="322">
        <v>137.87</v>
      </c>
      <c r="G27" s="322">
        <v>0</v>
      </c>
      <c r="H27" s="322">
        <f>TRANSPOSE(Pool!C43:AG43)</f>
        <v>0</v>
      </c>
      <c r="I27" s="325">
        <v>0</v>
      </c>
      <c r="J27" s="327"/>
      <c r="K27" s="329">
        <v>98</v>
      </c>
      <c r="L27" s="332" t="str">
        <v>closed</v>
      </c>
      <c r="M27" s="335">
        <v>82</v>
      </c>
      <c r="N27" s="327"/>
      <c r="O27" s="339">
        <v>145</v>
      </c>
    </row>
    <row r="28" spans="1:15" x14ac:dyDescent="0.25">
      <c r="A28" s="341">
        <f t="shared" si="0"/>
        <v>45349</v>
      </c>
      <c r="B28" s="356" t="str">
        <f>TEXT(A28,"DDD")</f>
        <v>Tue</v>
      </c>
      <c r="C28" s="322">
        <f>TRANSPOSE(Pool!C31:AG31)</f>
        <v>0</v>
      </c>
      <c r="D28" s="322">
        <v>0</v>
      </c>
      <c r="E28" s="322">
        <v>0</v>
      </c>
      <c r="F28" s="322">
        <v>60.08</v>
      </c>
      <c r="G28" s="322">
        <v>0</v>
      </c>
      <c r="H28" s="322">
        <f>TRANSPOSE(Pool!C44:AG44)</f>
        <v>0</v>
      </c>
      <c r="I28" s="325">
        <v>0</v>
      </c>
      <c r="J28" s="327"/>
      <c r="K28" s="329" t="str">
        <v>closed</v>
      </c>
      <c r="L28" s="332" t="str">
        <v>closed</v>
      </c>
      <c r="M28" s="335" t="str">
        <v>closed</v>
      </c>
      <c r="N28" s="327"/>
      <c r="O28" s="339">
        <v>33</v>
      </c>
    </row>
    <row r="29" spans="1:15" x14ac:dyDescent="0.25">
      <c r="A29" s="341">
        <f t="shared" si="0"/>
        <v>45350</v>
      </c>
      <c r="B29" s="356" t="str">
        <f>TEXT(A29,"ddd")</f>
        <v>Wed</v>
      </c>
      <c r="C29" s="322">
        <f>TRANSPOSE(Pool!C32:AG32)</f>
        <v>0</v>
      </c>
      <c r="D29" s="322">
        <v>0</v>
      </c>
      <c r="E29" s="322">
        <v>500</v>
      </c>
      <c r="F29" s="322">
        <v>81.39</v>
      </c>
      <c r="G29" s="322">
        <v>0</v>
      </c>
      <c r="H29" s="322">
        <f>TRANSPOSE(Pool!C45:AG45)</f>
        <v>57.98</v>
      </c>
      <c r="I29" s="325">
        <v>0</v>
      </c>
      <c r="J29" s="327"/>
      <c r="K29" s="329">
        <v>98</v>
      </c>
      <c r="L29" s="332" t="str">
        <v>closed</v>
      </c>
      <c r="M29" s="335">
        <v>76</v>
      </c>
      <c r="N29" s="327"/>
      <c r="O29" s="339">
        <v>120</v>
      </c>
    </row>
    <row r="30" spans="1:15" x14ac:dyDescent="0.25">
      <c r="A30" s="341">
        <f t="shared" si="0"/>
        <v>45351</v>
      </c>
      <c r="B30" s="356" t="str">
        <f>TEXT(A30,"ddd")</f>
        <v>Thu</v>
      </c>
      <c r="C30" s="322">
        <f>TRANSPOSE(Pool!C33:AG33)</f>
        <v>194.25</v>
      </c>
      <c r="D30" s="322">
        <v>0</v>
      </c>
      <c r="E30" s="322">
        <v>4</v>
      </c>
      <c r="F30" s="322">
        <v>69.13</v>
      </c>
      <c r="G30" s="322">
        <v>0</v>
      </c>
      <c r="H30" s="322">
        <f>TRANSPOSE(Pool!C46:AG46)</f>
        <v>1713.27</v>
      </c>
      <c r="I30" s="325">
        <v>0</v>
      </c>
      <c r="J30" s="327"/>
      <c r="K30" s="329">
        <v>98</v>
      </c>
      <c r="L30" s="332" t="str">
        <v>closed</v>
      </c>
      <c r="M30" s="335">
        <v>78</v>
      </c>
      <c r="N30" s="327"/>
      <c r="O30" s="339">
        <v>155</v>
      </c>
    </row>
    <row r="31" spans="1:15" x14ac:dyDescent="0.25">
      <c r="A31" s="341">
        <f t="shared" si="0"/>
        <v>45352</v>
      </c>
      <c r="B31" s="356" t="str">
        <f>TEXT(A31,"ddd")</f>
        <v>Fri</v>
      </c>
      <c r="C31" s="322">
        <f>TRANSPOSE(Pool!C34:AG34)</f>
        <v>2322.5</v>
      </c>
      <c r="D31" s="322">
        <v>0</v>
      </c>
      <c r="E31" s="322">
        <v>0</v>
      </c>
      <c r="F31" s="322">
        <v>0</v>
      </c>
      <c r="G31" s="322">
        <v>0</v>
      </c>
      <c r="H31" s="322">
        <f>TRANSPOSE(Pool!C47:AG47)</f>
        <v>3</v>
      </c>
      <c r="I31" s="325">
        <v>0</v>
      </c>
      <c r="J31" s="327"/>
      <c r="K31" s="329">
        <v>0</v>
      </c>
      <c r="L31" s="332">
        <v>0</v>
      </c>
      <c r="M31" s="335">
        <v>0</v>
      </c>
      <c r="N31" s="327"/>
      <c r="O31" s="339">
        <v>0</v>
      </c>
    </row>
    <row r="32" spans="1:15" ht="15.75" thickBot="1" x14ac:dyDescent="0.3">
      <c r="A32" s="342">
        <f t="shared" si="0"/>
        <v>45353</v>
      </c>
      <c r="B32" s="357" t="str">
        <f>TEXT(A32,"ddd")</f>
        <v>Sat</v>
      </c>
      <c r="C32" s="323">
        <f>TRANSPOSE(Pool!C35:AG35)</f>
        <v>0</v>
      </c>
      <c r="D32" s="323">
        <v>0</v>
      </c>
      <c r="E32" s="323">
        <v>0</v>
      </c>
      <c r="F32" s="323">
        <v>0</v>
      </c>
      <c r="G32" s="323">
        <v>0</v>
      </c>
      <c r="H32" s="323">
        <f>TRANSPOSE(Pool!C48:AG48)</f>
        <v>6</v>
      </c>
      <c r="I32" s="326">
        <v>0</v>
      </c>
      <c r="J32" s="327"/>
      <c r="K32" s="330">
        <v>0</v>
      </c>
      <c r="L32" s="333">
        <v>0</v>
      </c>
      <c r="M32" s="337">
        <v>0</v>
      </c>
      <c r="N32" s="327"/>
      <c r="O32" s="340">
        <v>0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10058.14</v>
      </c>
      <c r="D34" s="345">
        <f t="shared" si="1"/>
        <v>0</v>
      </c>
      <c r="E34" s="345">
        <f t="shared" si="1"/>
        <v>1157</v>
      </c>
      <c r="F34" s="345">
        <f t="shared" si="1"/>
        <v>4165.49</v>
      </c>
      <c r="G34" s="345">
        <f t="shared" si="1"/>
        <v>0</v>
      </c>
      <c r="H34" s="345">
        <f t="shared" si="1"/>
        <v>11664</v>
      </c>
      <c r="I34" s="346">
        <f t="shared" si="1"/>
        <v>0</v>
      </c>
      <c r="J34" s="60"/>
      <c r="K34" s="347">
        <f>Pool!AJ57</f>
        <v>98.142857142857139</v>
      </c>
      <c r="L34" s="348">
        <f>Pool!AJ58</f>
        <v>0</v>
      </c>
      <c r="M34" s="349">
        <f>Pool!AJ59</f>
        <v>78.86363636363636</v>
      </c>
      <c r="N34" s="102"/>
      <c r="O34" s="350">
        <f>SUM(O2:O33)</f>
        <v>5592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N11" sqref="AN11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February</v>
      </c>
      <c r="C1" s="228" t="str">
        <f t="array" ref="C1:AG1">TRANSPOSE('Cash Flow'!B8:B38)</f>
        <v>Thu</v>
      </c>
      <c r="D1" s="228" t="str">
        <v>Fri</v>
      </c>
      <c r="E1" s="228" t="str">
        <v>Sat</v>
      </c>
      <c r="F1" s="228" t="str">
        <v>Sun</v>
      </c>
      <c r="G1" s="228" t="str">
        <v>Mon</v>
      </c>
      <c r="H1" s="228" t="str">
        <v>Tue</v>
      </c>
      <c r="I1" s="228" t="str">
        <v>Wed</v>
      </c>
      <c r="J1" s="228" t="str">
        <v>Thu</v>
      </c>
      <c r="K1" s="228" t="str">
        <v>Fri</v>
      </c>
      <c r="L1" s="228" t="str">
        <v>Sat</v>
      </c>
      <c r="M1" s="228" t="str">
        <v>Sun</v>
      </c>
      <c r="N1" s="228" t="str">
        <v>Mon</v>
      </c>
      <c r="O1" s="228" t="str">
        <v>Tue</v>
      </c>
      <c r="P1" s="228" t="str">
        <v>Wed</v>
      </c>
      <c r="Q1" s="228" t="str">
        <v>Thu</v>
      </c>
      <c r="R1" s="228" t="str">
        <v>Fri</v>
      </c>
      <c r="S1" s="228" t="str">
        <v>Sat</v>
      </c>
      <c r="T1" s="228" t="str">
        <v>Sun</v>
      </c>
      <c r="U1" s="228" t="str">
        <v>Mon</v>
      </c>
      <c r="V1" s="228" t="str">
        <v>Tue</v>
      </c>
      <c r="W1" s="228" t="str">
        <v>Wed</v>
      </c>
      <c r="X1" s="228" t="str">
        <v>Thu</v>
      </c>
      <c r="Y1" s="228" t="str">
        <v>Fri</v>
      </c>
      <c r="Z1" s="228" t="str">
        <v>Sat</v>
      </c>
      <c r="AA1" s="228" t="str">
        <v>Sun</v>
      </c>
      <c r="AB1" s="228" t="str">
        <v>Mon</v>
      </c>
      <c r="AC1" s="228" t="str">
        <v>Tue</v>
      </c>
      <c r="AD1" s="228" t="str">
        <v>Wed</v>
      </c>
      <c r="AE1" s="228" t="str">
        <v>Thu</v>
      </c>
      <c r="AF1" s="228" t="str">
        <v>Fri</v>
      </c>
      <c r="AG1" s="228" t="str">
        <v>Sat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45323</v>
      </c>
      <c r="D2" s="106">
        <f t="shared" ref="D2:AG2" si="0">C2+1</f>
        <v>45324</v>
      </c>
      <c r="E2" s="106">
        <f t="shared" si="0"/>
        <v>45325</v>
      </c>
      <c r="F2" s="106">
        <f t="shared" si="0"/>
        <v>45326</v>
      </c>
      <c r="G2" s="106">
        <f t="shared" si="0"/>
        <v>45327</v>
      </c>
      <c r="H2" s="106">
        <f t="shared" si="0"/>
        <v>45328</v>
      </c>
      <c r="I2" s="106">
        <f t="shared" si="0"/>
        <v>45329</v>
      </c>
      <c r="J2" s="106">
        <f t="shared" si="0"/>
        <v>45330</v>
      </c>
      <c r="K2" s="106">
        <f t="shared" si="0"/>
        <v>45331</v>
      </c>
      <c r="L2" s="106">
        <f t="shared" si="0"/>
        <v>45332</v>
      </c>
      <c r="M2" s="106">
        <f t="shared" si="0"/>
        <v>45333</v>
      </c>
      <c r="N2" s="106">
        <f t="shared" si="0"/>
        <v>45334</v>
      </c>
      <c r="O2" s="106">
        <f t="shared" si="0"/>
        <v>45335</v>
      </c>
      <c r="P2" s="106">
        <f t="shared" si="0"/>
        <v>45336</v>
      </c>
      <c r="Q2" s="106">
        <f t="shared" si="0"/>
        <v>45337</v>
      </c>
      <c r="R2" s="106">
        <f t="shared" si="0"/>
        <v>45338</v>
      </c>
      <c r="S2" s="106">
        <f t="shared" si="0"/>
        <v>45339</v>
      </c>
      <c r="T2" s="106">
        <f t="shared" si="0"/>
        <v>45340</v>
      </c>
      <c r="U2" s="106">
        <f t="shared" si="0"/>
        <v>45341</v>
      </c>
      <c r="V2" s="106">
        <f t="shared" si="0"/>
        <v>45342</v>
      </c>
      <c r="W2" s="106">
        <f t="shared" si="0"/>
        <v>45343</v>
      </c>
      <c r="X2" s="106">
        <f t="shared" si="0"/>
        <v>45344</v>
      </c>
      <c r="Y2" s="106">
        <f t="shared" si="0"/>
        <v>45345</v>
      </c>
      <c r="Z2" s="106">
        <f t="shared" si="0"/>
        <v>45346</v>
      </c>
      <c r="AA2" s="106">
        <f t="shared" si="0"/>
        <v>45347</v>
      </c>
      <c r="AB2" s="106">
        <f t="shared" si="0"/>
        <v>45348</v>
      </c>
      <c r="AC2" s="106">
        <f t="shared" si="0"/>
        <v>45349</v>
      </c>
      <c r="AD2" s="106">
        <f t="shared" si="0"/>
        <v>45350</v>
      </c>
      <c r="AE2" s="106">
        <f t="shared" si="0"/>
        <v>45351</v>
      </c>
      <c r="AF2" s="106">
        <f t="shared" si="0"/>
        <v>45352</v>
      </c>
      <c r="AG2" s="106">
        <f t="shared" si="0"/>
        <v>45353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5" si="1">SUM(C3:AG3)</f>
        <v>0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191</v>
      </c>
      <c r="C8" s="433">
        <f t="shared" ref="C8:AG8" si="2">SUM(C3:C7)</f>
        <v>0</v>
      </c>
      <c r="D8" s="433">
        <f t="shared" si="2"/>
        <v>0</v>
      </c>
      <c r="E8" s="433">
        <f t="shared" si="2"/>
        <v>0</v>
      </c>
      <c r="F8" s="433">
        <f t="shared" si="2"/>
        <v>0</v>
      </c>
      <c r="G8" s="433">
        <f t="shared" si="2"/>
        <v>0</v>
      </c>
      <c r="H8" s="433">
        <f t="shared" si="2"/>
        <v>0</v>
      </c>
      <c r="I8" s="433">
        <f t="shared" si="2"/>
        <v>0</v>
      </c>
      <c r="J8" s="433">
        <f t="shared" si="2"/>
        <v>0</v>
      </c>
      <c r="K8" s="433">
        <f t="shared" si="2"/>
        <v>0</v>
      </c>
      <c r="L8" s="433">
        <f t="shared" si="2"/>
        <v>0</v>
      </c>
      <c r="M8" s="433">
        <f t="shared" si="2"/>
        <v>0</v>
      </c>
      <c r="N8" s="433">
        <f t="shared" si="2"/>
        <v>0</v>
      </c>
      <c r="O8" s="433">
        <f t="shared" si="2"/>
        <v>0</v>
      </c>
      <c r="P8" s="433">
        <f t="shared" si="2"/>
        <v>0</v>
      </c>
      <c r="Q8" s="433">
        <f t="shared" si="2"/>
        <v>0</v>
      </c>
      <c r="R8" s="433">
        <f t="shared" si="2"/>
        <v>0</v>
      </c>
      <c r="S8" s="433">
        <f t="shared" si="2"/>
        <v>0</v>
      </c>
      <c r="T8" s="433">
        <f t="shared" si="2"/>
        <v>0</v>
      </c>
      <c r="U8" s="433">
        <f t="shared" si="2"/>
        <v>0</v>
      </c>
      <c r="V8" s="433">
        <f t="shared" si="2"/>
        <v>0</v>
      </c>
      <c r="W8" s="433">
        <f t="shared" si="2"/>
        <v>0</v>
      </c>
      <c r="X8" s="433">
        <f t="shared" si="2"/>
        <v>0</v>
      </c>
      <c r="Y8" s="433">
        <f t="shared" si="2"/>
        <v>0</v>
      </c>
      <c r="Z8" s="433">
        <f t="shared" si="2"/>
        <v>0</v>
      </c>
      <c r="AA8" s="433">
        <f t="shared" si="2"/>
        <v>0</v>
      </c>
      <c r="AB8" s="433">
        <f t="shared" si="2"/>
        <v>0</v>
      </c>
      <c r="AC8" s="433">
        <f t="shared" si="2"/>
        <v>0</v>
      </c>
      <c r="AD8" s="433">
        <f t="shared" si="2"/>
        <v>0</v>
      </c>
      <c r="AE8" s="433">
        <f t="shared" si="2"/>
        <v>0</v>
      </c>
      <c r="AF8" s="433">
        <f t="shared" si="2"/>
        <v>0</v>
      </c>
      <c r="AG8" s="433">
        <f t="shared" si="2"/>
        <v>0</v>
      </c>
      <c r="AH8" s="432">
        <f t="shared" si="1"/>
        <v>0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7">
        <f t="shared" si="1"/>
        <v>0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21">
        <f t="shared" si="1"/>
        <v>0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201</v>
      </c>
      <c r="C12" s="426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21">
        <f t="shared" si="1"/>
        <v>0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0</v>
      </c>
      <c r="AJ13" s="425"/>
      <c r="AK13" s="424"/>
    </row>
    <row r="14" spans="1:37" ht="16.5" thickBot="1" x14ac:dyDescent="0.3">
      <c r="A14" s="132"/>
      <c r="B14" s="423" t="s">
        <v>190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0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0</v>
      </c>
      <c r="AD14" s="422">
        <f t="shared" si="3"/>
        <v>0</v>
      </c>
      <c r="AE14" s="422">
        <f t="shared" si="3"/>
        <v>0</v>
      </c>
      <c r="AF14" s="422">
        <f t="shared" si="3"/>
        <v>0</v>
      </c>
      <c r="AG14" s="422">
        <f t="shared" si="3"/>
        <v>0</v>
      </c>
      <c r="AH14" s="421">
        <f t="shared" si="1"/>
        <v>0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0</v>
      </c>
      <c r="F15" s="414">
        <f t="shared" si="4"/>
        <v>0</v>
      </c>
      <c r="G15" s="414">
        <f t="shared" si="4"/>
        <v>0</v>
      </c>
      <c r="H15" s="414">
        <f t="shared" si="4"/>
        <v>0</v>
      </c>
      <c r="I15" s="414">
        <f t="shared" si="4"/>
        <v>0</v>
      </c>
      <c r="J15" s="414">
        <f t="shared" si="4"/>
        <v>0</v>
      </c>
      <c r="K15" s="414">
        <f t="shared" si="4"/>
        <v>0</v>
      </c>
      <c r="L15" s="414">
        <f t="shared" si="4"/>
        <v>0</v>
      </c>
      <c r="M15" s="414">
        <f t="shared" si="4"/>
        <v>0</v>
      </c>
      <c r="N15" s="414">
        <f t="shared" si="4"/>
        <v>0</v>
      </c>
      <c r="O15" s="414">
        <f t="shared" si="4"/>
        <v>0</v>
      </c>
      <c r="P15" s="414">
        <f t="shared" si="4"/>
        <v>0</v>
      </c>
      <c r="Q15" s="414">
        <f t="shared" si="4"/>
        <v>0</v>
      </c>
      <c r="R15" s="414">
        <f t="shared" si="4"/>
        <v>0</v>
      </c>
      <c r="S15" s="414">
        <f t="shared" si="4"/>
        <v>0</v>
      </c>
      <c r="T15" s="414">
        <f t="shared" si="4"/>
        <v>0</v>
      </c>
      <c r="U15" s="414">
        <f t="shared" si="4"/>
        <v>0</v>
      </c>
      <c r="V15" s="414">
        <f t="shared" si="4"/>
        <v>0</v>
      </c>
      <c r="W15" s="414">
        <f t="shared" si="4"/>
        <v>0</v>
      </c>
      <c r="X15" s="414">
        <f t="shared" si="4"/>
        <v>0</v>
      </c>
      <c r="Y15" s="414">
        <f t="shared" si="4"/>
        <v>0</v>
      </c>
      <c r="Z15" s="414">
        <f t="shared" si="4"/>
        <v>0</v>
      </c>
      <c r="AA15" s="414">
        <f t="shared" si="4"/>
        <v>0</v>
      </c>
      <c r="AB15" s="414">
        <f t="shared" si="4"/>
        <v>0</v>
      </c>
      <c r="AC15" s="414">
        <f t="shared" si="4"/>
        <v>0</v>
      </c>
      <c r="AD15" s="414">
        <f t="shared" si="4"/>
        <v>0</v>
      </c>
      <c r="AE15" s="414">
        <f t="shared" si="4"/>
        <v>0</v>
      </c>
      <c r="AF15" s="414">
        <f t="shared" si="4"/>
        <v>0</v>
      </c>
      <c r="AG15" s="414">
        <f t="shared" si="4"/>
        <v>0</v>
      </c>
      <c r="AH15" s="109">
        <f t="shared" si="1"/>
        <v>0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13" t="s">
        <v>127</v>
      </c>
      <c r="AK17" s="514"/>
      <c r="AL17" s="514"/>
      <c r="AM17" s="515"/>
    </row>
    <row r="18" spans="1:40" ht="16.5" thickBot="1" x14ac:dyDescent="0.3">
      <c r="A18" s="367" t="str">
        <f>'[1]TEMP Summary'!A12</f>
        <v>01-00-1000</v>
      </c>
      <c r="B18" s="454" t="s">
        <v>189</v>
      </c>
      <c r="C18" s="436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437"/>
      <c r="Q18" s="437"/>
      <c r="R18" s="437"/>
      <c r="S18" s="43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483"/>
      <c r="AF18" s="483"/>
      <c r="AG18" s="484"/>
      <c r="AH18" s="419">
        <f t="shared" ref="AH18:AH24" si="5">SUM(C18:AG18)</f>
        <v>0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5" t="s">
        <v>188</v>
      </c>
      <c r="C19" s="438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485"/>
      <c r="AF19" s="485"/>
      <c r="AG19" s="486"/>
      <c r="AH19" s="418">
        <f t="shared" si="5"/>
        <v>0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187</v>
      </c>
      <c r="C20" s="438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125"/>
      <c r="U20" s="125"/>
      <c r="V20" s="125"/>
      <c r="W20" s="125"/>
      <c r="X20" s="125"/>
      <c r="Y20" s="125"/>
      <c r="Z20" s="125"/>
      <c r="AA20" s="125"/>
      <c r="AB20" s="125"/>
      <c r="AC20" s="485"/>
      <c r="AD20" s="485"/>
      <c r="AE20" s="485"/>
      <c r="AF20" s="485"/>
      <c r="AG20" s="486"/>
      <c r="AH20" s="418">
        <f t="shared" si="5"/>
        <v>0</v>
      </c>
      <c r="AJ20" s="126" t="s">
        <v>60</v>
      </c>
      <c r="AK20" s="127" t="s">
        <v>54</v>
      </c>
      <c r="AL20" s="452">
        <f>SUM(C18:AD19)</f>
        <v>0</v>
      </c>
      <c r="AM20" s="453">
        <f>SUM(AE18:AG19)</f>
        <v>0</v>
      </c>
    </row>
    <row r="21" spans="1:40" ht="15.75" x14ac:dyDescent="0.25">
      <c r="A21" s="368" t="str">
        <f>'[1]TEMP Summary'!A15</f>
        <v>01-00-1000</v>
      </c>
      <c r="B21" s="455" t="s">
        <v>186</v>
      </c>
      <c r="C21" s="438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/>
      <c r="AB21" s="125"/>
      <c r="AC21" s="485"/>
      <c r="AD21" s="485"/>
      <c r="AE21" s="485"/>
      <c r="AF21" s="485"/>
      <c r="AG21" s="486"/>
      <c r="AH21" s="418">
        <f>SUM(C21:AG21)</f>
        <v>0</v>
      </c>
      <c r="AJ21" s="129" t="s">
        <v>60</v>
      </c>
      <c r="AK21" s="130" t="s">
        <v>202</v>
      </c>
      <c r="AL21" s="290">
        <f>SUM(C20:AB21)-AL29</f>
        <v>0</v>
      </c>
      <c r="AM21" s="291">
        <f>SUM(AC20:AG21)-AM29</f>
        <v>0</v>
      </c>
    </row>
    <row r="22" spans="1:40" ht="15.75" x14ac:dyDescent="0.25">
      <c r="A22" s="368" t="s">
        <v>60</v>
      </c>
      <c r="B22" s="460" t="s">
        <v>204</v>
      </c>
      <c r="C22" s="461"/>
      <c r="D22" s="462"/>
      <c r="E22" s="462"/>
      <c r="F22" s="462"/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462"/>
      <c r="S22" s="462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488"/>
      <c r="AG22" s="489"/>
      <c r="AH22" s="418">
        <f>SUM(C22:AG22)</f>
        <v>0</v>
      </c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490"/>
      <c r="AG23" s="491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1">
        <f>SUM(C18:C23)</f>
        <v>0</v>
      </c>
      <c r="D24" s="472">
        <f t="shared" ref="D24:AG24" si="6">SUM(D18:D23)</f>
        <v>0</v>
      </c>
      <c r="E24" s="472">
        <f t="shared" si="6"/>
        <v>0</v>
      </c>
      <c r="F24" s="472">
        <f t="shared" si="6"/>
        <v>0</v>
      </c>
      <c r="G24" s="472">
        <f t="shared" si="6"/>
        <v>0</v>
      </c>
      <c r="H24" s="472">
        <f t="shared" si="6"/>
        <v>0</v>
      </c>
      <c r="I24" s="472">
        <f t="shared" si="6"/>
        <v>0</v>
      </c>
      <c r="J24" s="472">
        <f t="shared" si="6"/>
        <v>0</v>
      </c>
      <c r="K24" s="472">
        <f t="shared" si="6"/>
        <v>0</v>
      </c>
      <c r="L24" s="472">
        <f t="shared" si="6"/>
        <v>0</v>
      </c>
      <c r="M24" s="472">
        <f t="shared" si="6"/>
        <v>0</v>
      </c>
      <c r="N24" s="472">
        <f t="shared" si="6"/>
        <v>0</v>
      </c>
      <c r="O24" s="472">
        <f t="shared" si="6"/>
        <v>0</v>
      </c>
      <c r="P24" s="472">
        <f t="shared" si="6"/>
        <v>0</v>
      </c>
      <c r="Q24" s="472">
        <f t="shared" si="6"/>
        <v>0</v>
      </c>
      <c r="R24" s="472">
        <f t="shared" si="6"/>
        <v>0</v>
      </c>
      <c r="S24" s="472">
        <f t="shared" si="6"/>
        <v>0</v>
      </c>
      <c r="T24" s="472">
        <f t="shared" si="6"/>
        <v>0</v>
      </c>
      <c r="U24" s="472">
        <f t="shared" si="6"/>
        <v>0</v>
      </c>
      <c r="V24" s="472">
        <f t="shared" si="6"/>
        <v>0</v>
      </c>
      <c r="W24" s="472">
        <f t="shared" si="6"/>
        <v>0</v>
      </c>
      <c r="X24" s="472">
        <f t="shared" si="6"/>
        <v>0</v>
      </c>
      <c r="Y24" s="472">
        <f t="shared" si="6"/>
        <v>0</v>
      </c>
      <c r="Z24" s="472">
        <f t="shared" si="6"/>
        <v>0</v>
      </c>
      <c r="AA24" s="472">
        <f t="shared" si="6"/>
        <v>0</v>
      </c>
      <c r="AB24" s="472">
        <f t="shared" si="6"/>
        <v>0</v>
      </c>
      <c r="AC24" s="472">
        <f t="shared" si="6"/>
        <v>0</v>
      </c>
      <c r="AD24" s="472">
        <f t="shared" si="6"/>
        <v>0</v>
      </c>
      <c r="AE24" s="472">
        <f t="shared" si="6"/>
        <v>0</v>
      </c>
      <c r="AF24" s="472">
        <f t="shared" si="6"/>
        <v>0</v>
      </c>
      <c r="AG24" s="473">
        <f t="shared" si="6"/>
        <v>0</v>
      </c>
      <c r="AH24" s="459">
        <f t="shared" si="5"/>
        <v>0</v>
      </c>
      <c r="AJ24" s="135" t="s">
        <v>84</v>
      </c>
      <c r="AK24" s="136" t="s">
        <v>33</v>
      </c>
      <c r="AL24" s="292">
        <f>SUM(AH26:AH27)</f>
        <v>0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2" t="s">
        <v>76</v>
      </c>
      <c r="AK25" s="516"/>
      <c r="AL25" s="517">
        <f>SUM(AL20:AM24)</f>
        <v>0</v>
      </c>
      <c r="AM25" s="518"/>
      <c r="AN25" s="294">
        <f>AL25-(AH24+AH26+AH27-AH29)</f>
        <v>0</v>
      </c>
    </row>
    <row r="26" spans="1:40" ht="15.75" x14ac:dyDescent="0.25">
      <c r="A26" s="416"/>
      <c r="B26" s="415" t="s">
        <v>185</v>
      </c>
      <c r="C26" s="414">
        <f>SUM(C3:C7)-(C18+C20+C22)</f>
        <v>0</v>
      </c>
      <c r="D26" s="414">
        <f t="shared" ref="D26:AG26" si="7">SUM(D3:D7)-(D18+D20+D22)</f>
        <v>0</v>
      </c>
      <c r="E26" s="414">
        <f t="shared" si="7"/>
        <v>0</v>
      </c>
      <c r="F26" s="414">
        <f t="shared" si="7"/>
        <v>0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0</v>
      </c>
    </row>
    <row r="27" spans="1:40" ht="16.5" thickBot="1" x14ac:dyDescent="0.3">
      <c r="A27" s="413"/>
      <c r="B27" s="183" t="s">
        <v>184</v>
      </c>
      <c r="C27" s="412">
        <f>SUM(C9:C13)-(C19+C21+C23)</f>
        <v>0</v>
      </c>
      <c r="D27" s="412">
        <f t="shared" ref="D27:AG27" si="8">SUM(D9:D13)-(D19+D21+D23)</f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203</v>
      </c>
      <c r="B29" s="449" t="s">
        <v>195</v>
      </c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87"/>
      <c r="AD29" s="487"/>
      <c r="AE29" s="487"/>
      <c r="AF29" s="487"/>
      <c r="AG29" s="487"/>
      <c r="AH29" s="451">
        <f>SUM(C29:AG29)</f>
        <v>0</v>
      </c>
      <c r="AJ29" s="211" t="s">
        <v>203</v>
      </c>
      <c r="AK29" s="212" t="s">
        <v>197</v>
      </c>
      <c r="AL29" s="271">
        <f>SUM(C29:AB29)</f>
        <v>0</v>
      </c>
      <c r="AM29" s="272">
        <f>SUM(AC29:AG29)</f>
        <v>0</v>
      </c>
    </row>
    <row r="30" spans="1:40" ht="16.5" thickBot="1" x14ac:dyDescent="0.3">
      <c r="B30" s="60" t="s">
        <v>232</v>
      </c>
      <c r="C30" s="482">
        <f>C20+C64-C29</f>
        <v>0</v>
      </c>
      <c r="D30" s="482">
        <f t="shared" ref="D30:AG30" si="9">D20+D64-D29</f>
        <v>0</v>
      </c>
      <c r="E30" s="482">
        <f t="shared" si="9"/>
        <v>0</v>
      </c>
      <c r="F30" s="482">
        <f t="shared" si="9"/>
        <v>0</v>
      </c>
      <c r="G30" s="482">
        <f t="shared" si="9"/>
        <v>0</v>
      </c>
      <c r="H30" s="482">
        <f t="shared" si="9"/>
        <v>0</v>
      </c>
      <c r="I30" s="482">
        <f t="shared" si="9"/>
        <v>0</v>
      </c>
      <c r="J30" s="482">
        <f t="shared" si="9"/>
        <v>0</v>
      </c>
      <c r="K30" s="482">
        <f t="shared" si="9"/>
        <v>0</v>
      </c>
      <c r="L30" s="482">
        <f t="shared" si="9"/>
        <v>0</v>
      </c>
      <c r="M30" s="482">
        <f t="shared" si="9"/>
        <v>0</v>
      </c>
      <c r="N30" s="482">
        <f t="shared" si="9"/>
        <v>0</v>
      </c>
      <c r="O30" s="482">
        <f t="shared" si="9"/>
        <v>0</v>
      </c>
      <c r="P30" s="482">
        <f t="shared" si="9"/>
        <v>0</v>
      </c>
      <c r="Q30" s="482">
        <f t="shared" si="9"/>
        <v>0</v>
      </c>
      <c r="R30" s="482">
        <f t="shared" si="9"/>
        <v>0</v>
      </c>
      <c r="S30" s="482">
        <f t="shared" si="9"/>
        <v>0</v>
      </c>
      <c r="T30" s="482">
        <f t="shared" si="9"/>
        <v>0</v>
      </c>
      <c r="U30" s="482">
        <f t="shared" si="9"/>
        <v>0</v>
      </c>
      <c r="V30" s="482">
        <f t="shared" si="9"/>
        <v>0</v>
      </c>
      <c r="W30" s="482">
        <f t="shared" si="9"/>
        <v>0</v>
      </c>
      <c r="X30" s="482">
        <f t="shared" si="9"/>
        <v>0</v>
      </c>
      <c r="Y30" s="482">
        <f t="shared" si="9"/>
        <v>0</v>
      </c>
      <c r="Z30" s="482">
        <f t="shared" si="9"/>
        <v>0</v>
      </c>
      <c r="AA30" s="482">
        <f t="shared" si="9"/>
        <v>0</v>
      </c>
      <c r="AB30" s="482">
        <f t="shared" si="9"/>
        <v>0</v>
      </c>
      <c r="AC30" s="482">
        <f t="shared" si="9"/>
        <v>0</v>
      </c>
      <c r="AD30" s="482">
        <f t="shared" si="9"/>
        <v>0</v>
      </c>
      <c r="AE30" s="482">
        <f t="shared" si="9"/>
        <v>0</v>
      </c>
      <c r="AF30" s="482">
        <f t="shared" si="9"/>
        <v>0</v>
      </c>
      <c r="AG30" s="482">
        <f t="shared" si="9"/>
        <v>0</v>
      </c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11" t="s">
        <v>57</v>
      </c>
      <c r="AK31" s="512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1">
        <f t="shared" ref="AH32:AH44" si="10">SUM(C32:AG32)</f>
        <v>0</v>
      </c>
      <c r="AJ32" s="257">
        <f t="shared" ref="AJ32:AJ37" si="11">AH32+AH39</f>
        <v>0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0">
        <f t="shared" si="10"/>
        <v>0</v>
      </c>
      <c r="AJ33" s="257">
        <f t="shared" si="11"/>
        <v>0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0">
        <f t="shared" si="10"/>
        <v>0</v>
      </c>
      <c r="AJ34" s="257">
        <f t="shared" si="11"/>
        <v>0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10"/>
        <v>0</v>
      </c>
      <c r="AJ35" s="257">
        <f t="shared" si="11"/>
        <v>0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f>'[1]TEMP Summary'!$T$22</f>
        <v>0</v>
      </c>
      <c r="F36" s="144">
        <f>'[1]TEMP Summary'!$T$22</f>
        <v>0</v>
      </c>
      <c r="G36" s="144">
        <f>'[1]TEMP Summary'!$T$22</f>
        <v>0</v>
      </c>
      <c r="H36" s="144">
        <f>'[1]TEMP Summary'!$T$22</f>
        <v>0</v>
      </c>
      <c r="I36" s="144">
        <f>'[1]TEMP Summary'!$T$22</f>
        <v>0</v>
      </c>
      <c r="J36" s="144">
        <f>'[1]TEMP Summary'!$T$22</f>
        <v>0</v>
      </c>
      <c r="K36" s="144">
        <f>'[1]TEMP Summary'!$T$22</f>
        <v>0</v>
      </c>
      <c r="L36" s="144">
        <f>'[1]TEMP Summary'!$T$22</f>
        <v>0</v>
      </c>
      <c r="M36" s="144">
        <f>'[1]TEMP Summary'!$T$22</f>
        <v>0</v>
      </c>
      <c r="N36" s="144">
        <f>'[1]TEMP Summary'!$T$22</f>
        <v>0</v>
      </c>
      <c r="O36" s="144">
        <f>'[1]TEMP Summary'!$T$22</f>
        <v>0</v>
      </c>
      <c r="P36" s="144">
        <f>'[1]TEMP Summary'!$T$22</f>
        <v>0</v>
      </c>
      <c r="Q36" s="144">
        <f>'[1]TEMP Summary'!$T$22</f>
        <v>0</v>
      </c>
      <c r="R36" s="144">
        <f>'[1]TEMP Summary'!$T$22</f>
        <v>0</v>
      </c>
      <c r="S36" s="144">
        <f>'[1]TEMP Summary'!$T$22</f>
        <v>0</v>
      </c>
      <c r="T36" s="144">
        <f>'[1]TEMP Summary'!$T$22</f>
        <v>0</v>
      </c>
      <c r="U36" s="144">
        <f>'[1]TEMP Summary'!$T$22</f>
        <v>0</v>
      </c>
      <c r="V36" s="144">
        <f>'[1]TEMP Summary'!$T$22</f>
        <v>0</v>
      </c>
      <c r="W36" s="144">
        <f>'[1]TEMP Summary'!$T$22</f>
        <v>0</v>
      </c>
      <c r="X36" s="144">
        <f>'[1]TEMP Summary'!$T$22</f>
        <v>0</v>
      </c>
      <c r="Y36" s="144">
        <f>'[1]TEMP Summary'!$T$22</f>
        <v>0</v>
      </c>
      <c r="Z36" s="144">
        <f>'[1]TEMP Summary'!$T$22</f>
        <v>0</v>
      </c>
      <c r="AA36" s="144">
        <f>'[1]TEMP Summary'!$T$22</f>
        <v>0</v>
      </c>
      <c r="AB36" s="144">
        <f>'[1]TEMP Summary'!$T$22</f>
        <v>0</v>
      </c>
      <c r="AC36" s="144">
        <f>'[1]TEMP Summary'!$T$22</f>
        <v>0</v>
      </c>
      <c r="AD36" s="144">
        <f>'[1]TEMP Summary'!$T$22</f>
        <v>0</v>
      </c>
      <c r="AE36" s="144">
        <f>'[1]TEMP Summary'!$T$22</f>
        <v>0</v>
      </c>
      <c r="AF36" s="144">
        <f>'[1]TEMP Summary'!$T$22</f>
        <v>0</v>
      </c>
      <c r="AG36" s="144">
        <f>'[1]TEMP Summary'!$T$22</f>
        <v>0</v>
      </c>
      <c r="AH36" s="410">
        <f t="shared" si="10"/>
        <v>0</v>
      </c>
      <c r="AJ36" s="257">
        <f t="shared" si="11"/>
        <v>0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f>'[1]TEMP Summary'!$T$22</f>
        <v>0</v>
      </c>
      <c r="F37" s="144">
        <f>'[1]TEMP Summary'!$T$22</f>
        <v>0</v>
      </c>
      <c r="G37" s="144">
        <f>'[1]TEMP Summary'!$T$22</f>
        <v>0</v>
      </c>
      <c r="H37" s="144">
        <f>'[1]TEMP Summary'!$T$22</f>
        <v>0</v>
      </c>
      <c r="I37" s="144">
        <f>'[1]TEMP Summary'!$T$22</f>
        <v>0</v>
      </c>
      <c r="J37" s="144">
        <f>'[1]TEMP Summary'!$T$22</f>
        <v>0</v>
      </c>
      <c r="K37" s="144">
        <f>'[1]TEMP Summary'!$T$22</f>
        <v>0</v>
      </c>
      <c r="L37" s="144">
        <f>'[1]TEMP Summary'!$T$22</f>
        <v>0</v>
      </c>
      <c r="M37" s="144">
        <f>'[1]TEMP Summary'!$T$22</f>
        <v>0</v>
      </c>
      <c r="N37" s="144">
        <f>'[1]TEMP Summary'!$T$22</f>
        <v>0</v>
      </c>
      <c r="O37" s="144">
        <f>'[1]TEMP Summary'!$T$22</f>
        <v>0</v>
      </c>
      <c r="P37" s="144">
        <f>'[1]TEMP Summary'!$T$22</f>
        <v>0</v>
      </c>
      <c r="Q37" s="144">
        <f>'[1]TEMP Summary'!$T$22</f>
        <v>0</v>
      </c>
      <c r="R37" s="144">
        <f>'[1]TEMP Summary'!$T$22</f>
        <v>0</v>
      </c>
      <c r="S37" s="144">
        <f>'[1]TEMP Summary'!$T$22</f>
        <v>0</v>
      </c>
      <c r="T37" s="144">
        <f>'[1]TEMP Summary'!$T$22</f>
        <v>0</v>
      </c>
      <c r="U37" s="144">
        <f>'[1]TEMP Summary'!$T$22</f>
        <v>0</v>
      </c>
      <c r="V37" s="144">
        <f>'[1]TEMP Summary'!$T$22</f>
        <v>0</v>
      </c>
      <c r="W37" s="144">
        <f>'[1]TEMP Summary'!$T$22</f>
        <v>0</v>
      </c>
      <c r="X37" s="144">
        <f>'[1]TEMP Summary'!$T$22</f>
        <v>0</v>
      </c>
      <c r="Y37" s="144">
        <f>'[1]TEMP Summary'!$T$22</f>
        <v>0</v>
      </c>
      <c r="Z37" s="144">
        <f>'[1]TEMP Summary'!$T$22</f>
        <v>0</v>
      </c>
      <c r="AA37" s="144">
        <f>'[1]TEMP Summary'!$T$22</f>
        <v>0</v>
      </c>
      <c r="AB37" s="144">
        <f>'[1]TEMP Summary'!$T$22</f>
        <v>0</v>
      </c>
      <c r="AC37" s="144">
        <f>'[1]TEMP Summary'!$T$22</f>
        <v>0</v>
      </c>
      <c r="AD37" s="144">
        <f>'[1]TEMP Summary'!$T$22</f>
        <v>0</v>
      </c>
      <c r="AE37" s="144">
        <f>'[1]TEMP Summary'!$T$22</f>
        <v>0</v>
      </c>
      <c r="AF37" s="144">
        <f>'[1]TEMP Summary'!$T$22</f>
        <v>0</v>
      </c>
      <c r="AG37" s="144">
        <f>'[1]TEMP Summary'!$T$22</f>
        <v>0</v>
      </c>
      <c r="AH37" s="410">
        <f t="shared" si="10"/>
        <v>0</v>
      </c>
      <c r="AJ37" s="257">
        <f t="shared" si="11"/>
        <v>0</v>
      </c>
      <c r="AK37" s="258" t="s">
        <v>71</v>
      </c>
    </row>
    <row r="38" spans="1:37" ht="15.75" thickBot="1" x14ac:dyDescent="0.3">
      <c r="A38" s="168"/>
      <c r="B38" s="440" t="s">
        <v>183</v>
      </c>
      <c r="C38" s="441">
        <f t="shared" ref="C38:AG38" si="12">SUM(C32:C37)</f>
        <v>0</v>
      </c>
      <c r="D38" s="442">
        <f t="shared" si="12"/>
        <v>0</v>
      </c>
      <c r="E38" s="442">
        <f t="shared" si="12"/>
        <v>0</v>
      </c>
      <c r="F38" s="442">
        <f t="shared" si="12"/>
        <v>0</v>
      </c>
      <c r="G38" s="442">
        <f t="shared" si="12"/>
        <v>0</v>
      </c>
      <c r="H38" s="442">
        <f t="shared" si="12"/>
        <v>0</v>
      </c>
      <c r="I38" s="442">
        <f t="shared" si="12"/>
        <v>0</v>
      </c>
      <c r="J38" s="442">
        <f t="shared" si="12"/>
        <v>0</v>
      </c>
      <c r="K38" s="442">
        <f t="shared" si="12"/>
        <v>0</v>
      </c>
      <c r="L38" s="442">
        <f t="shared" si="12"/>
        <v>0</v>
      </c>
      <c r="M38" s="442">
        <f t="shared" si="12"/>
        <v>0</v>
      </c>
      <c r="N38" s="442">
        <f t="shared" si="12"/>
        <v>0</v>
      </c>
      <c r="O38" s="442">
        <f t="shared" si="12"/>
        <v>0</v>
      </c>
      <c r="P38" s="442">
        <f t="shared" si="12"/>
        <v>0</v>
      </c>
      <c r="Q38" s="442">
        <f t="shared" si="12"/>
        <v>0</v>
      </c>
      <c r="R38" s="442">
        <f t="shared" si="12"/>
        <v>0</v>
      </c>
      <c r="S38" s="442">
        <f t="shared" si="12"/>
        <v>0</v>
      </c>
      <c r="T38" s="442">
        <f t="shared" si="12"/>
        <v>0</v>
      </c>
      <c r="U38" s="442">
        <f t="shared" si="12"/>
        <v>0</v>
      </c>
      <c r="V38" s="442">
        <f t="shared" si="12"/>
        <v>0</v>
      </c>
      <c r="W38" s="442">
        <f t="shared" si="12"/>
        <v>0</v>
      </c>
      <c r="X38" s="442">
        <f t="shared" si="12"/>
        <v>0</v>
      </c>
      <c r="Y38" s="442">
        <f t="shared" si="12"/>
        <v>0</v>
      </c>
      <c r="Z38" s="442">
        <f t="shared" si="12"/>
        <v>0</v>
      </c>
      <c r="AA38" s="442">
        <f t="shared" si="12"/>
        <v>0</v>
      </c>
      <c r="AB38" s="442">
        <f t="shared" si="12"/>
        <v>0</v>
      </c>
      <c r="AC38" s="442">
        <f t="shared" si="12"/>
        <v>0</v>
      </c>
      <c r="AD38" s="442">
        <f t="shared" si="12"/>
        <v>0</v>
      </c>
      <c r="AE38" s="442">
        <f t="shared" si="12"/>
        <v>0</v>
      </c>
      <c r="AF38" s="442">
        <f t="shared" si="12"/>
        <v>0</v>
      </c>
      <c r="AG38" s="443">
        <f t="shared" si="12"/>
        <v>0</v>
      </c>
      <c r="AH38" s="409">
        <f>SUM(C38:AG38)</f>
        <v>0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'[1]TEMP Summary'!$T$22</f>
        <v>0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'[1]TEMP Summary'!$T$22</f>
        <v>0</v>
      </c>
      <c r="AD39" s="140">
        <f>'[1]TEMP Summary'!$T$22</f>
        <v>0</v>
      </c>
      <c r="AE39" s="140">
        <f>'[1]TEMP Summary'!$T$22</f>
        <v>0</v>
      </c>
      <c r="AF39" s="140">
        <f>'[1]TEMP Summary'!$T$22</f>
        <v>0</v>
      </c>
      <c r="AG39" s="141">
        <f>'[1]TEMP Summary'!$T$22</f>
        <v>0</v>
      </c>
      <c r="AH39" s="142">
        <f t="shared" si="10"/>
        <v>0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10"/>
        <v>0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10"/>
        <v>0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10"/>
        <v>0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'[1]TEMP Summary'!$T$22</f>
        <v>0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'[1]TEMP Summary'!$T$22</f>
        <v>0</v>
      </c>
      <c r="AD43" s="144">
        <f>'[1]TEMP Summary'!$T$22</f>
        <v>0</v>
      </c>
      <c r="AE43" s="144">
        <f>'[1]TEMP Summary'!$T$22</f>
        <v>0</v>
      </c>
      <c r="AF43" s="144">
        <f>'[1]TEMP Summary'!$T$22</f>
        <v>0</v>
      </c>
      <c r="AG43" s="145">
        <f>'[1]TEMP Summary'!$T$22</f>
        <v>0</v>
      </c>
      <c r="AH43" s="142">
        <f t="shared" si="10"/>
        <v>0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'[1]TEMP Summary'!$T$22</f>
        <v>0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'[1]TEMP Summary'!$T$22</f>
        <v>0</v>
      </c>
      <c r="AD44" s="144">
        <f>'[1]TEMP Summary'!$T$22</f>
        <v>0</v>
      </c>
      <c r="AE44" s="144">
        <f>'[1]TEMP Summary'!$T$22</f>
        <v>0</v>
      </c>
      <c r="AF44" s="144">
        <f>'[1]TEMP Summary'!$T$22</f>
        <v>0</v>
      </c>
      <c r="AG44" s="145">
        <f>'[1]TEMP Summary'!$T$22</f>
        <v>0</v>
      </c>
      <c r="AH44" s="142">
        <f t="shared" si="10"/>
        <v>0</v>
      </c>
      <c r="AJ44" s="257"/>
      <c r="AK44" s="259"/>
    </row>
    <row r="45" spans="1:37" x14ac:dyDescent="0.25">
      <c r="A45" s="168"/>
      <c r="B45" s="444" t="s">
        <v>182</v>
      </c>
      <c r="C45" s="441">
        <f t="shared" ref="C45:AG45" si="13">SUM(C39:C44)</f>
        <v>0</v>
      </c>
      <c r="D45" s="441">
        <f t="shared" si="13"/>
        <v>0</v>
      </c>
      <c r="E45" s="441">
        <f t="shared" si="13"/>
        <v>0</v>
      </c>
      <c r="F45" s="441">
        <f t="shared" si="13"/>
        <v>0</v>
      </c>
      <c r="G45" s="441">
        <f t="shared" si="13"/>
        <v>0</v>
      </c>
      <c r="H45" s="441">
        <f t="shared" si="13"/>
        <v>0</v>
      </c>
      <c r="I45" s="441">
        <f t="shared" si="13"/>
        <v>0</v>
      </c>
      <c r="J45" s="441">
        <f t="shared" si="13"/>
        <v>0</v>
      </c>
      <c r="K45" s="441">
        <f t="shared" si="13"/>
        <v>0</v>
      </c>
      <c r="L45" s="441">
        <f t="shared" si="13"/>
        <v>0</v>
      </c>
      <c r="M45" s="441">
        <f t="shared" si="13"/>
        <v>0</v>
      </c>
      <c r="N45" s="441">
        <f t="shared" si="13"/>
        <v>0</v>
      </c>
      <c r="O45" s="441">
        <f t="shared" si="13"/>
        <v>0</v>
      </c>
      <c r="P45" s="441">
        <f t="shared" si="13"/>
        <v>0</v>
      </c>
      <c r="Q45" s="441">
        <f t="shared" si="13"/>
        <v>0</v>
      </c>
      <c r="R45" s="441">
        <f t="shared" si="13"/>
        <v>0</v>
      </c>
      <c r="S45" s="441">
        <f t="shared" si="13"/>
        <v>0</v>
      </c>
      <c r="T45" s="441">
        <f t="shared" si="13"/>
        <v>0</v>
      </c>
      <c r="U45" s="441">
        <f t="shared" si="13"/>
        <v>0</v>
      </c>
      <c r="V45" s="441">
        <f t="shared" si="13"/>
        <v>0</v>
      </c>
      <c r="W45" s="441">
        <f t="shared" si="13"/>
        <v>0</v>
      </c>
      <c r="X45" s="441">
        <f t="shared" si="13"/>
        <v>0</v>
      </c>
      <c r="Y45" s="441">
        <f t="shared" si="13"/>
        <v>0</v>
      </c>
      <c r="Z45" s="441">
        <f t="shared" si="13"/>
        <v>0</v>
      </c>
      <c r="AA45" s="441">
        <f t="shared" si="13"/>
        <v>0</v>
      </c>
      <c r="AB45" s="441">
        <f t="shared" si="13"/>
        <v>0</v>
      </c>
      <c r="AC45" s="441">
        <f t="shared" si="13"/>
        <v>0</v>
      </c>
      <c r="AD45" s="441">
        <f t="shared" si="13"/>
        <v>0</v>
      </c>
      <c r="AE45" s="441">
        <f t="shared" si="13"/>
        <v>0</v>
      </c>
      <c r="AF45" s="441">
        <f t="shared" si="13"/>
        <v>0</v>
      </c>
      <c r="AG45" s="443">
        <f t="shared" si="13"/>
        <v>0</v>
      </c>
      <c r="AH45" s="407">
        <f>SUM(C45:AG45)</f>
        <v>0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4">SUM(C32:C37,C39:C44)</f>
        <v>0</v>
      </c>
      <c r="D46" s="147">
        <f t="shared" si="14"/>
        <v>0</v>
      </c>
      <c r="E46" s="147">
        <f t="shared" si="14"/>
        <v>0</v>
      </c>
      <c r="F46" s="147">
        <f t="shared" si="14"/>
        <v>0</v>
      </c>
      <c r="G46" s="147">
        <f t="shared" si="14"/>
        <v>0</v>
      </c>
      <c r="H46" s="147">
        <f t="shared" si="14"/>
        <v>0</v>
      </c>
      <c r="I46" s="147">
        <f t="shared" si="14"/>
        <v>0</v>
      </c>
      <c r="J46" s="147">
        <f t="shared" si="14"/>
        <v>0</v>
      </c>
      <c r="K46" s="147">
        <f t="shared" si="14"/>
        <v>0</v>
      </c>
      <c r="L46" s="147">
        <f t="shared" si="14"/>
        <v>0</v>
      </c>
      <c r="M46" s="147">
        <f t="shared" si="14"/>
        <v>0</v>
      </c>
      <c r="N46" s="147">
        <f t="shared" si="14"/>
        <v>0</v>
      </c>
      <c r="O46" s="147">
        <f t="shared" si="14"/>
        <v>0</v>
      </c>
      <c r="P46" s="147">
        <f t="shared" si="14"/>
        <v>0</v>
      </c>
      <c r="Q46" s="147">
        <f t="shared" si="14"/>
        <v>0</v>
      </c>
      <c r="R46" s="147">
        <f t="shared" si="14"/>
        <v>0</v>
      </c>
      <c r="S46" s="147">
        <f t="shared" si="14"/>
        <v>0</v>
      </c>
      <c r="T46" s="147">
        <f t="shared" si="14"/>
        <v>0</v>
      </c>
      <c r="U46" s="147">
        <f t="shared" si="14"/>
        <v>0</v>
      </c>
      <c r="V46" s="147">
        <f t="shared" si="14"/>
        <v>0</v>
      </c>
      <c r="W46" s="147">
        <f t="shared" si="14"/>
        <v>0</v>
      </c>
      <c r="X46" s="147">
        <f t="shared" si="14"/>
        <v>0</v>
      </c>
      <c r="Y46" s="147">
        <f t="shared" si="14"/>
        <v>0</v>
      </c>
      <c r="Z46" s="147">
        <f t="shared" si="14"/>
        <v>0</v>
      </c>
      <c r="AA46" s="147">
        <f t="shared" si="14"/>
        <v>0</v>
      </c>
      <c r="AB46" s="147">
        <f t="shared" si="14"/>
        <v>0</v>
      </c>
      <c r="AC46" s="147">
        <f t="shared" si="14"/>
        <v>0</v>
      </c>
      <c r="AD46" s="147">
        <f t="shared" si="14"/>
        <v>0</v>
      </c>
      <c r="AE46" s="147">
        <f t="shared" si="14"/>
        <v>0</v>
      </c>
      <c r="AF46" s="147">
        <f t="shared" si="14"/>
        <v>0</v>
      </c>
      <c r="AG46" s="262">
        <f t="shared" si="14"/>
        <v>0</v>
      </c>
      <c r="AH46" s="148">
        <f>SUM(AH32:AH37,AH39:AH44)</f>
        <v>0</v>
      </c>
      <c r="AJ46" s="260">
        <f>AH46</f>
        <v>0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6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E27" sqref="AE27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1" width="10" style="60" customWidth="1"/>
    <col min="32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February</v>
      </c>
      <c r="C1" s="228" t="str">
        <f t="array" ref="C1:AG1">TRANSPOSE('Cash Flow'!B8:B38)</f>
        <v>Thu</v>
      </c>
      <c r="D1" s="228" t="str">
        <v>Fri</v>
      </c>
      <c r="E1" s="228" t="str">
        <v>Sat</v>
      </c>
      <c r="F1" s="228" t="str">
        <v>Sun</v>
      </c>
      <c r="G1" s="228" t="str">
        <v>Mon</v>
      </c>
      <c r="H1" s="228" t="str">
        <v>Tue</v>
      </c>
      <c r="I1" s="228" t="str">
        <v>Wed</v>
      </c>
      <c r="J1" s="228" t="str">
        <v>Thu</v>
      </c>
      <c r="K1" s="228" t="str">
        <v>Fri</v>
      </c>
      <c r="L1" s="228" t="str">
        <v>Sat</v>
      </c>
      <c r="M1" s="228" t="str">
        <v>Sun</v>
      </c>
      <c r="N1" s="228" t="str">
        <v>Mon</v>
      </c>
      <c r="O1" s="228" t="str">
        <v>Tue</v>
      </c>
      <c r="P1" s="228" t="str">
        <v>Wed</v>
      </c>
      <c r="Q1" s="228" t="str">
        <v>Thu</v>
      </c>
      <c r="R1" s="228" t="str">
        <v>Fri</v>
      </c>
      <c r="S1" s="228" t="str">
        <v>Sat</v>
      </c>
      <c r="T1" s="228" t="str">
        <v>Sun</v>
      </c>
      <c r="U1" s="228" t="str">
        <v>Mon</v>
      </c>
      <c r="V1" s="228" t="str">
        <v>Tue</v>
      </c>
      <c r="W1" s="228" t="str">
        <v>Wed</v>
      </c>
      <c r="X1" s="228" t="str">
        <v>Thu</v>
      </c>
      <c r="Y1" s="228" t="str">
        <v>Fri</v>
      </c>
      <c r="Z1" s="228" t="str">
        <v>Sat</v>
      </c>
      <c r="AA1" s="228" t="str">
        <v>Sun</v>
      </c>
      <c r="AB1" s="228" t="str">
        <v>Mon</v>
      </c>
      <c r="AC1" s="228" t="str">
        <v>Tue</v>
      </c>
      <c r="AD1" s="228" t="str">
        <v>Wed</v>
      </c>
      <c r="AE1" s="228" t="str">
        <v>Thu</v>
      </c>
      <c r="AF1" s="228" t="str">
        <v>Fri</v>
      </c>
      <c r="AG1" s="228" t="str">
        <v>Sat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45323</v>
      </c>
      <c r="D2" s="106">
        <f>C2+1</f>
        <v>45324</v>
      </c>
      <c r="E2" s="106">
        <f>D2+1</f>
        <v>45325</v>
      </c>
      <c r="F2" s="106">
        <f t="shared" ref="F2:AG2" si="0">E2+1</f>
        <v>45326</v>
      </c>
      <c r="G2" s="106">
        <f t="shared" si="0"/>
        <v>45327</v>
      </c>
      <c r="H2" s="106">
        <f t="shared" si="0"/>
        <v>45328</v>
      </c>
      <c r="I2" s="106">
        <f t="shared" si="0"/>
        <v>45329</v>
      </c>
      <c r="J2" s="106">
        <f t="shared" si="0"/>
        <v>45330</v>
      </c>
      <c r="K2" s="106">
        <f t="shared" si="0"/>
        <v>45331</v>
      </c>
      <c r="L2" s="106">
        <f t="shared" si="0"/>
        <v>45332</v>
      </c>
      <c r="M2" s="106">
        <f t="shared" si="0"/>
        <v>45333</v>
      </c>
      <c r="N2" s="106">
        <f t="shared" si="0"/>
        <v>45334</v>
      </c>
      <c r="O2" s="106">
        <f t="shared" si="0"/>
        <v>45335</v>
      </c>
      <c r="P2" s="106">
        <f t="shared" si="0"/>
        <v>45336</v>
      </c>
      <c r="Q2" s="106">
        <f t="shared" si="0"/>
        <v>45337</v>
      </c>
      <c r="R2" s="106">
        <f t="shared" si="0"/>
        <v>45338</v>
      </c>
      <c r="S2" s="106">
        <f t="shared" si="0"/>
        <v>45339</v>
      </c>
      <c r="T2" s="106">
        <f t="shared" si="0"/>
        <v>45340</v>
      </c>
      <c r="U2" s="106">
        <f t="shared" si="0"/>
        <v>45341</v>
      </c>
      <c r="V2" s="106">
        <f t="shared" si="0"/>
        <v>45342</v>
      </c>
      <c r="W2" s="106">
        <f t="shared" si="0"/>
        <v>45343</v>
      </c>
      <c r="X2" s="106">
        <f t="shared" si="0"/>
        <v>45344</v>
      </c>
      <c r="Y2" s="106">
        <f t="shared" si="0"/>
        <v>45345</v>
      </c>
      <c r="Z2" s="106">
        <f t="shared" si="0"/>
        <v>45346</v>
      </c>
      <c r="AA2" s="106">
        <f t="shared" si="0"/>
        <v>45347</v>
      </c>
      <c r="AB2" s="106">
        <f t="shared" si="0"/>
        <v>45348</v>
      </c>
      <c r="AC2" s="106">
        <f t="shared" si="0"/>
        <v>45349</v>
      </c>
      <c r="AD2" s="106">
        <f t="shared" si="0"/>
        <v>45350</v>
      </c>
      <c r="AE2" s="106">
        <f t="shared" si="0"/>
        <v>45351</v>
      </c>
      <c r="AF2" s="106">
        <f t="shared" si="0"/>
        <v>45352</v>
      </c>
      <c r="AG2" s="106">
        <f t="shared" si="0"/>
        <v>45353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/>
      <c r="D3" s="185"/>
      <c r="E3" s="185">
        <v>0.37</v>
      </c>
      <c r="F3" s="185">
        <v>4.92</v>
      </c>
      <c r="G3" s="185"/>
      <c r="H3" s="185">
        <v>0.76</v>
      </c>
      <c r="I3" s="185"/>
      <c r="J3" s="185"/>
      <c r="K3" s="185">
        <v>3.03</v>
      </c>
      <c r="L3" s="185">
        <v>4.93</v>
      </c>
      <c r="M3" s="185"/>
      <c r="N3" s="185"/>
      <c r="O3" s="185">
        <v>2.84</v>
      </c>
      <c r="P3" s="185">
        <v>2.13</v>
      </c>
      <c r="Q3" s="185"/>
      <c r="R3" s="185"/>
      <c r="S3" s="185">
        <v>3.21</v>
      </c>
      <c r="T3" s="185">
        <v>0.09</v>
      </c>
      <c r="U3" s="185">
        <v>2.83</v>
      </c>
      <c r="V3" s="185"/>
      <c r="W3" s="185">
        <v>1.38</v>
      </c>
      <c r="X3" s="185"/>
      <c r="Y3" s="185"/>
      <c r="Z3" s="185"/>
      <c r="AA3" s="185"/>
      <c r="AB3" s="185">
        <v>2.41</v>
      </c>
      <c r="AC3" s="185"/>
      <c r="AD3" s="185">
        <v>9.27</v>
      </c>
      <c r="AE3" s="185">
        <v>3.31</v>
      </c>
      <c r="AF3" s="185"/>
      <c r="AG3" s="185"/>
      <c r="AH3" s="108">
        <f>SUM(C3:AG3)</f>
        <v>41.480000000000004</v>
      </c>
      <c r="AJ3" s="66" t="s">
        <v>61</v>
      </c>
      <c r="AK3" s="67" t="s">
        <v>62</v>
      </c>
      <c r="AL3" s="210"/>
      <c r="AM3" s="210"/>
    </row>
    <row r="4" spans="1:40" x14ac:dyDescent="0.25">
      <c r="A4" s="69" t="s">
        <v>210</v>
      </c>
      <c r="B4" s="70" t="s">
        <v>211</v>
      </c>
      <c r="C4" s="71"/>
      <c r="D4" s="72"/>
      <c r="E4" s="71">
        <v>3.99</v>
      </c>
      <c r="F4" s="71">
        <v>51.98</v>
      </c>
      <c r="G4" s="71"/>
      <c r="H4" s="71">
        <v>8</v>
      </c>
      <c r="I4" s="71"/>
      <c r="J4" s="71"/>
      <c r="K4" s="71">
        <v>31.99</v>
      </c>
      <c r="L4" s="71">
        <v>52.19</v>
      </c>
      <c r="M4" s="71"/>
      <c r="N4" s="71"/>
      <c r="O4" s="71">
        <v>30</v>
      </c>
      <c r="P4" s="71">
        <v>22.5</v>
      </c>
      <c r="Q4" s="71"/>
      <c r="R4" s="71"/>
      <c r="S4" s="71">
        <v>34</v>
      </c>
      <c r="T4" s="71">
        <v>1</v>
      </c>
      <c r="U4" s="71">
        <v>29.99</v>
      </c>
      <c r="V4" s="71"/>
      <c r="W4" s="71">
        <v>14.5</v>
      </c>
      <c r="X4" s="71"/>
      <c r="Y4" s="71"/>
      <c r="Z4" s="71"/>
      <c r="AA4" s="71"/>
      <c r="AB4" s="71">
        <v>25.5</v>
      </c>
      <c r="AC4" s="71"/>
      <c r="AD4" s="71">
        <v>97.99</v>
      </c>
      <c r="AE4" s="71">
        <v>34.99</v>
      </c>
      <c r="AF4" s="71"/>
      <c r="AG4" s="71"/>
      <c r="AH4" s="108">
        <f>SUM(C4:AG4)</f>
        <v>438.62</v>
      </c>
      <c r="AJ4" s="69" t="s">
        <v>210</v>
      </c>
      <c r="AK4" s="70" t="s">
        <v>211</v>
      </c>
      <c r="AL4" s="210"/>
      <c r="AM4" s="210"/>
    </row>
    <row r="5" spans="1:40" x14ac:dyDescent="0.25">
      <c r="A5" s="66" t="s">
        <v>210</v>
      </c>
      <c r="B5" s="67" t="s">
        <v>234</v>
      </c>
      <c r="C5" s="68"/>
      <c r="D5" s="185"/>
      <c r="E5" s="68"/>
      <c r="F5" s="68"/>
      <c r="G5" s="68">
        <v>1</v>
      </c>
      <c r="H5" s="68"/>
      <c r="I5" s="68"/>
      <c r="J5" s="68">
        <v>35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108">
        <f>SUM(C5:AG5)</f>
        <v>36</v>
      </c>
      <c r="AJ5" s="66" t="s">
        <v>210</v>
      </c>
      <c r="AK5" s="67" t="s">
        <v>234</v>
      </c>
      <c r="AL5" s="210"/>
      <c r="AM5" s="210"/>
    </row>
    <row r="6" spans="1:40" ht="16.5" thickBot="1" x14ac:dyDescent="0.3">
      <c r="A6" s="66" t="s">
        <v>210</v>
      </c>
      <c r="B6" s="67" t="s">
        <v>233</v>
      </c>
      <c r="C6" s="68"/>
      <c r="D6" s="185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108">
        <f>SUM(C6:AG6)</f>
        <v>0</v>
      </c>
      <c r="AJ6" s="66" t="s">
        <v>210</v>
      </c>
      <c r="AK6" s="67" t="s">
        <v>233</v>
      </c>
      <c r="AL6" s="210"/>
      <c r="AM6" s="210"/>
    </row>
    <row r="7" spans="1:40" s="60" customFormat="1" ht="13.5" thickBot="1" x14ac:dyDescent="0.25">
      <c r="A7" s="199"/>
      <c r="B7" s="84" t="s">
        <v>64</v>
      </c>
      <c r="C7" s="107">
        <f t="shared" ref="C7:AG7" si="1">SUM(C3:C6)</f>
        <v>0</v>
      </c>
      <c r="D7" s="107">
        <f t="shared" si="1"/>
        <v>0</v>
      </c>
      <c r="E7" s="107">
        <f t="shared" si="1"/>
        <v>4.3600000000000003</v>
      </c>
      <c r="F7" s="107">
        <f t="shared" si="1"/>
        <v>56.9</v>
      </c>
      <c r="G7" s="107">
        <f t="shared" si="1"/>
        <v>1</v>
      </c>
      <c r="H7" s="107">
        <f t="shared" si="1"/>
        <v>8.76</v>
      </c>
      <c r="I7" s="107">
        <f t="shared" si="1"/>
        <v>0</v>
      </c>
      <c r="J7" s="107">
        <f t="shared" si="1"/>
        <v>35</v>
      </c>
      <c r="K7" s="107">
        <f t="shared" si="1"/>
        <v>35.019999999999996</v>
      </c>
      <c r="L7" s="107">
        <f t="shared" si="1"/>
        <v>57.12</v>
      </c>
      <c r="M7" s="107">
        <f t="shared" si="1"/>
        <v>0</v>
      </c>
      <c r="N7" s="107">
        <f t="shared" si="1"/>
        <v>0</v>
      </c>
      <c r="O7" s="107">
        <f t="shared" si="1"/>
        <v>32.840000000000003</v>
      </c>
      <c r="P7" s="107">
        <f t="shared" si="1"/>
        <v>24.63</v>
      </c>
      <c r="Q7" s="107">
        <f t="shared" si="1"/>
        <v>0</v>
      </c>
      <c r="R7" s="107">
        <f t="shared" si="1"/>
        <v>0</v>
      </c>
      <c r="S7" s="107">
        <f t="shared" si="1"/>
        <v>37.21</v>
      </c>
      <c r="T7" s="107">
        <f t="shared" si="1"/>
        <v>1.0900000000000001</v>
      </c>
      <c r="U7" s="107">
        <f t="shared" si="1"/>
        <v>32.82</v>
      </c>
      <c r="V7" s="107">
        <f t="shared" si="1"/>
        <v>0</v>
      </c>
      <c r="W7" s="107">
        <f t="shared" si="1"/>
        <v>15.879999999999999</v>
      </c>
      <c r="X7" s="107">
        <f t="shared" si="1"/>
        <v>0</v>
      </c>
      <c r="Y7" s="107">
        <f t="shared" si="1"/>
        <v>0</v>
      </c>
      <c r="Z7" s="107">
        <f t="shared" si="1"/>
        <v>0</v>
      </c>
      <c r="AA7" s="107">
        <f t="shared" si="1"/>
        <v>0</v>
      </c>
      <c r="AB7" s="107">
        <f t="shared" si="1"/>
        <v>27.91</v>
      </c>
      <c r="AC7" s="107">
        <f t="shared" si="1"/>
        <v>0</v>
      </c>
      <c r="AD7" s="107">
        <f t="shared" si="1"/>
        <v>107.25999999999999</v>
      </c>
      <c r="AE7" s="107">
        <f t="shared" si="1"/>
        <v>38.300000000000004</v>
      </c>
      <c r="AF7" s="107">
        <f t="shared" si="1"/>
        <v>0</v>
      </c>
      <c r="AG7" s="107">
        <f t="shared" si="1"/>
        <v>0</v>
      </c>
      <c r="AH7" s="109">
        <f>SUM(C3:AG6)</f>
        <v>516.1</v>
      </c>
      <c r="AI7" s="85"/>
      <c r="AJ7" s="275"/>
      <c r="AK7" s="276" t="s">
        <v>64</v>
      </c>
    </row>
    <row r="8" spans="1:40" ht="16.5" thickBot="1" x14ac:dyDescent="0.3">
      <c r="A8" s="195"/>
      <c r="B8" s="196"/>
      <c r="C8" s="197"/>
      <c r="D8" s="196"/>
      <c r="E8" s="196"/>
      <c r="F8" s="196"/>
      <c r="G8" s="196"/>
      <c r="H8" s="278"/>
      <c r="I8" s="196"/>
      <c r="J8" s="196"/>
      <c r="K8" s="196"/>
      <c r="L8" s="196"/>
      <c r="M8" s="196"/>
      <c r="N8" s="196"/>
      <c r="O8" s="196"/>
      <c r="P8" s="196"/>
      <c r="Q8" s="196"/>
      <c r="R8" s="263"/>
      <c r="S8" s="196"/>
      <c r="T8" s="196"/>
      <c r="U8" s="196"/>
      <c r="V8" s="196"/>
      <c r="W8" s="196"/>
      <c r="X8" s="196"/>
      <c r="Y8" s="197"/>
      <c r="Z8" s="196"/>
      <c r="AA8" s="196"/>
      <c r="AB8" s="196"/>
      <c r="AC8" s="196"/>
      <c r="AD8" s="196"/>
      <c r="AE8" s="196"/>
      <c r="AF8" s="196"/>
      <c r="AG8" s="196"/>
      <c r="AH8" s="198"/>
      <c r="AJ8" s="282" t="s">
        <v>66</v>
      </c>
      <c r="AK8" s="283" t="s">
        <v>128</v>
      </c>
      <c r="AL8" s="283" t="s">
        <v>120</v>
      </c>
      <c r="AM8" s="284" t="s">
        <v>121</v>
      </c>
    </row>
    <row r="9" spans="1:40" x14ac:dyDescent="0.25">
      <c r="A9" s="89" t="s">
        <v>60</v>
      </c>
      <c r="B9" s="84" t="s">
        <v>54</v>
      </c>
      <c r="C9" s="392"/>
      <c r="D9" s="392"/>
      <c r="E9" s="392">
        <v>4.3600000000000003</v>
      </c>
      <c r="F9" s="392">
        <v>56.9</v>
      </c>
      <c r="G9" s="392">
        <v>1</v>
      </c>
      <c r="H9" s="392">
        <v>8.76</v>
      </c>
      <c r="I9" s="392"/>
      <c r="J9" s="392"/>
      <c r="K9" s="392">
        <v>2.1800000000000002</v>
      </c>
      <c r="L9" s="392">
        <v>2.1800000000000002</v>
      </c>
      <c r="M9" s="392"/>
      <c r="N9" s="392"/>
      <c r="O9" s="392"/>
      <c r="P9" s="392"/>
      <c r="Q9" s="392"/>
      <c r="R9" s="392"/>
      <c r="S9" s="392"/>
      <c r="T9" s="392">
        <v>1.0900000000000001</v>
      </c>
      <c r="U9" s="392"/>
      <c r="V9" s="392"/>
      <c r="W9" s="392"/>
      <c r="X9" s="392"/>
      <c r="Y9" s="392"/>
      <c r="Z9" s="392"/>
      <c r="AA9" s="392"/>
      <c r="AB9" s="392"/>
      <c r="AC9" s="392"/>
      <c r="AD9" s="392">
        <v>0.22</v>
      </c>
      <c r="AE9" s="393"/>
      <c r="AF9" s="393"/>
      <c r="AG9" s="393"/>
      <c r="AH9" s="110">
        <f>SUM(C9:AG9)</f>
        <v>76.690000000000012</v>
      </c>
      <c r="AJ9" s="137" t="s">
        <v>60</v>
      </c>
      <c r="AK9" s="138" t="s">
        <v>212</v>
      </c>
      <c r="AL9" s="386">
        <f>SUM(C9:AD9)</f>
        <v>76.690000000000012</v>
      </c>
      <c r="AM9" s="387">
        <f>SUM(AE9:AG9)</f>
        <v>0</v>
      </c>
    </row>
    <row r="10" spans="1:40" ht="16.5" thickBot="1" x14ac:dyDescent="0.3">
      <c r="A10" s="90" t="s">
        <v>60</v>
      </c>
      <c r="B10" s="91" t="s">
        <v>55</v>
      </c>
      <c r="C10" s="389"/>
      <c r="D10" s="389"/>
      <c r="E10" s="389"/>
      <c r="F10" s="389"/>
      <c r="G10" s="389"/>
      <c r="H10" s="389"/>
      <c r="I10" s="389"/>
      <c r="J10" s="389">
        <v>35</v>
      </c>
      <c r="K10" s="389">
        <v>32.840000000000003</v>
      </c>
      <c r="L10" s="389">
        <v>54.94</v>
      </c>
      <c r="M10" s="389"/>
      <c r="N10" s="389"/>
      <c r="O10" s="389">
        <v>32.840000000000003</v>
      </c>
      <c r="P10" s="389">
        <v>24.63</v>
      </c>
      <c r="Q10" s="389"/>
      <c r="R10" s="389"/>
      <c r="S10" s="389">
        <v>37.21</v>
      </c>
      <c r="T10" s="389"/>
      <c r="U10" s="389">
        <v>32.82</v>
      </c>
      <c r="V10" s="389"/>
      <c r="W10" s="389">
        <v>15.88</v>
      </c>
      <c r="X10" s="389"/>
      <c r="Y10" s="389"/>
      <c r="Z10" s="389"/>
      <c r="AA10" s="389"/>
      <c r="AB10" s="391">
        <v>27.91</v>
      </c>
      <c r="AC10" s="391"/>
      <c r="AD10" s="391">
        <v>107.26</v>
      </c>
      <c r="AE10" s="391">
        <v>38.299999999999997</v>
      </c>
      <c r="AF10" s="391"/>
      <c r="AG10" s="391"/>
      <c r="AH10" s="111">
        <f>SUM(C10:AG10)</f>
        <v>439.63000000000005</v>
      </c>
      <c r="AJ10" s="129" t="s">
        <v>60</v>
      </c>
      <c r="AK10" s="130" t="s">
        <v>213</v>
      </c>
      <c r="AL10" s="290">
        <f>SUM(C10:Z10)-AL15</f>
        <v>257.87</v>
      </c>
      <c r="AM10" s="291">
        <f>SUM(AA10:AG10)-AM15</f>
        <v>168.07000000000002</v>
      </c>
    </row>
    <row r="11" spans="1:40" ht="16.5" thickBot="1" x14ac:dyDescent="0.3">
      <c r="A11" s="202"/>
      <c r="B11" s="193" t="s">
        <v>65</v>
      </c>
      <c r="C11" s="107">
        <f t="shared" ref="C11:AG11" si="2">SUM(C9:C10)</f>
        <v>0</v>
      </c>
      <c r="D11" s="107">
        <f t="shared" si="2"/>
        <v>0</v>
      </c>
      <c r="E11" s="107">
        <f t="shared" si="2"/>
        <v>4.3600000000000003</v>
      </c>
      <c r="F11" s="107">
        <f t="shared" si="2"/>
        <v>56.9</v>
      </c>
      <c r="G11" s="107">
        <f t="shared" si="2"/>
        <v>1</v>
      </c>
      <c r="H11" s="107">
        <f t="shared" si="2"/>
        <v>8.76</v>
      </c>
      <c r="I11" s="107">
        <f t="shared" si="2"/>
        <v>0</v>
      </c>
      <c r="J11" s="107">
        <f t="shared" si="2"/>
        <v>35</v>
      </c>
      <c r="K11" s="107">
        <f t="shared" si="2"/>
        <v>35.020000000000003</v>
      </c>
      <c r="L11" s="107">
        <f t="shared" si="2"/>
        <v>57.12</v>
      </c>
      <c r="M11" s="107">
        <f t="shared" si="2"/>
        <v>0</v>
      </c>
      <c r="N11" s="107">
        <f t="shared" si="2"/>
        <v>0</v>
      </c>
      <c r="O11" s="107">
        <f t="shared" si="2"/>
        <v>32.840000000000003</v>
      </c>
      <c r="P11" s="107">
        <f t="shared" si="2"/>
        <v>24.63</v>
      </c>
      <c r="Q11" s="107">
        <f t="shared" si="2"/>
        <v>0</v>
      </c>
      <c r="R11" s="107">
        <f t="shared" si="2"/>
        <v>0</v>
      </c>
      <c r="S11" s="107">
        <f t="shared" si="2"/>
        <v>37.21</v>
      </c>
      <c r="T11" s="107">
        <f t="shared" si="2"/>
        <v>1.0900000000000001</v>
      </c>
      <c r="U11" s="107">
        <f t="shared" si="2"/>
        <v>32.82</v>
      </c>
      <c r="V11" s="107">
        <f t="shared" si="2"/>
        <v>0</v>
      </c>
      <c r="W11" s="107">
        <f t="shared" si="2"/>
        <v>15.88</v>
      </c>
      <c r="X11" s="107">
        <f t="shared" si="2"/>
        <v>0</v>
      </c>
      <c r="Y11" s="107">
        <f t="shared" si="2"/>
        <v>0</v>
      </c>
      <c r="Z11" s="107">
        <f t="shared" si="2"/>
        <v>0</v>
      </c>
      <c r="AA11" s="107">
        <f t="shared" si="2"/>
        <v>0</v>
      </c>
      <c r="AB11" s="107">
        <f t="shared" si="2"/>
        <v>27.91</v>
      </c>
      <c r="AC11" s="107">
        <f t="shared" si="2"/>
        <v>0</v>
      </c>
      <c r="AD11" s="107">
        <f t="shared" si="2"/>
        <v>107.48</v>
      </c>
      <c r="AE11" s="107">
        <f t="shared" si="2"/>
        <v>38.299999999999997</v>
      </c>
      <c r="AF11" s="107">
        <f t="shared" si="2"/>
        <v>0</v>
      </c>
      <c r="AG11" s="107">
        <f t="shared" si="2"/>
        <v>0</v>
      </c>
      <c r="AH11" s="110">
        <f>SUM(C11:AG11)</f>
        <v>516.31999999999994</v>
      </c>
      <c r="AI11" s="59"/>
      <c r="AJ11" s="502" t="s">
        <v>76</v>
      </c>
      <c r="AK11" s="503"/>
      <c r="AL11" s="504">
        <f>SUM(AL9:AM10)</f>
        <v>502.63</v>
      </c>
      <c r="AM11" s="505"/>
      <c r="AN11" s="273">
        <f>AL11-(AH11+AL13-AL15-AM15)</f>
        <v>0.22000000000008413</v>
      </c>
    </row>
    <row r="12" spans="1:40" ht="16.5" thickBot="1" x14ac:dyDescent="0.3">
      <c r="A12" s="95"/>
      <c r="B12" s="96"/>
      <c r="C12" s="97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8"/>
      <c r="AJ12" s="268"/>
      <c r="AK12" s="268"/>
      <c r="AL12" s="99"/>
      <c r="AM12" s="190"/>
      <c r="AN12" s="192"/>
    </row>
    <row r="13" spans="1:40" s="99" customFormat="1" ht="16.5" thickBot="1" x14ac:dyDescent="0.3">
      <c r="A13" s="275" t="s">
        <v>214</v>
      </c>
      <c r="B13" s="101" t="s">
        <v>33</v>
      </c>
      <c r="C13" s="114">
        <f t="shared" ref="C13:AG13" si="3">SUM(C3:C6)-SUM(C9:C10)</f>
        <v>0</v>
      </c>
      <c r="D13" s="114">
        <f t="shared" si="3"/>
        <v>0</v>
      </c>
      <c r="E13" s="114">
        <f t="shared" si="3"/>
        <v>0</v>
      </c>
      <c r="F13" s="114">
        <f t="shared" si="3"/>
        <v>0</v>
      </c>
      <c r="G13" s="114">
        <f t="shared" si="3"/>
        <v>0</v>
      </c>
      <c r="H13" s="114">
        <f t="shared" si="3"/>
        <v>0</v>
      </c>
      <c r="I13" s="114">
        <f t="shared" si="3"/>
        <v>0</v>
      </c>
      <c r="J13" s="114">
        <f t="shared" si="3"/>
        <v>0</v>
      </c>
      <c r="K13" s="114">
        <f t="shared" si="3"/>
        <v>0</v>
      </c>
      <c r="L13" s="114">
        <f t="shared" si="3"/>
        <v>0</v>
      </c>
      <c r="M13" s="114">
        <f t="shared" si="3"/>
        <v>0</v>
      </c>
      <c r="N13" s="114">
        <f t="shared" si="3"/>
        <v>0</v>
      </c>
      <c r="O13" s="114">
        <f t="shared" si="3"/>
        <v>0</v>
      </c>
      <c r="P13" s="114">
        <f t="shared" si="3"/>
        <v>0</v>
      </c>
      <c r="Q13" s="114">
        <f t="shared" si="3"/>
        <v>0</v>
      </c>
      <c r="R13" s="114">
        <f t="shared" si="3"/>
        <v>0</v>
      </c>
      <c r="S13" s="114">
        <f t="shared" si="3"/>
        <v>0</v>
      </c>
      <c r="T13" s="114">
        <f t="shared" si="3"/>
        <v>0</v>
      </c>
      <c r="U13" s="114">
        <f t="shared" si="3"/>
        <v>0</v>
      </c>
      <c r="V13" s="114">
        <f t="shared" si="3"/>
        <v>0</v>
      </c>
      <c r="W13" s="114">
        <f t="shared" si="3"/>
        <v>0</v>
      </c>
      <c r="X13" s="114">
        <f t="shared" si="3"/>
        <v>0</v>
      </c>
      <c r="Y13" s="114">
        <f t="shared" si="3"/>
        <v>0</v>
      </c>
      <c r="Z13" s="114">
        <f t="shared" si="3"/>
        <v>0</v>
      </c>
      <c r="AA13" s="114">
        <f t="shared" si="3"/>
        <v>0</v>
      </c>
      <c r="AB13" s="114">
        <f t="shared" si="3"/>
        <v>0</v>
      </c>
      <c r="AC13" s="114">
        <f t="shared" si="3"/>
        <v>0</v>
      </c>
      <c r="AD13" s="114">
        <f t="shared" si="3"/>
        <v>-0.22000000000001307</v>
      </c>
      <c r="AE13" s="114">
        <f t="shared" si="3"/>
        <v>0</v>
      </c>
      <c r="AF13" s="114">
        <f t="shared" si="3"/>
        <v>0</v>
      </c>
      <c r="AG13" s="114">
        <f t="shared" si="3"/>
        <v>0</v>
      </c>
      <c r="AH13" s="115">
        <f>SUM(C13:AG13)</f>
        <v>-0.22000000000001307</v>
      </c>
      <c r="AI13" s="62"/>
      <c r="AJ13" s="463" t="s">
        <v>214</v>
      </c>
      <c r="AK13" s="212" t="s">
        <v>215</v>
      </c>
      <c r="AL13" s="271">
        <f>AH13</f>
        <v>-0.22000000000001307</v>
      </c>
      <c r="AM13" s="272"/>
      <c r="AN13" s="274" t="s">
        <v>126</v>
      </c>
    </row>
    <row r="14" spans="1:40" s="102" customFormat="1" ht="16.5" thickBot="1" x14ac:dyDescent="0.3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464"/>
      <c r="AK14" s="225"/>
      <c r="AL14" s="99"/>
      <c r="AM14" s="475">
        <f>AL11+AL13+AM13+AL15+AM15</f>
        <v>516.1</v>
      </c>
      <c r="AN14" s="474">
        <f>AM14-AH7</f>
        <v>0</v>
      </c>
    </row>
    <row r="15" spans="1:40" s="99" customFormat="1" ht="16.5" thickBot="1" x14ac:dyDescent="0.3">
      <c r="A15" s="463" t="s">
        <v>216</v>
      </c>
      <c r="B15" s="101" t="s">
        <v>195</v>
      </c>
      <c r="C15" s="465"/>
      <c r="D15" s="465"/>
      <c r="E15" s="465"/>
      <c r="F15" s="465"/>
      <c r="G15" s="465"/>
      <c r="H15" s="465"/>
      <c r="I15" s="465"/>
      <c r="J15" s="465">
        <v>1.0900000000000001</v>
      </c>
      <c r="K15" s="465">
        <v>1.02</v>
      </c>
      <c r="L15" s="465">
        <v>1.71</v>
      </c>
      <c r="M15" s="465"/>
      <c r="N15" s="465"/>
      <c r="O15" s="465">
        <v>1.02</v>
      </c>
      <c r="P15" s="465">
        <v>0.77</v>
      </c>
      <c r="Q15" s="465"/>
      <c r="R15" s="465"/>
      <c r="S15" s="465">
        <v>1.1599999999999999</v>
      </c>
      <c r="T15" s="465"/>
      <c r="U15" s="465">
        <v>1.02</v>
      </c>
      <c r="V15" s="465"/>
      <c r="W15" s="465">
        <v>0.5</v>
      </c>
      <c r="X15" s="465"/>
      <c r="Y15" s="465"/>
      <c r="Z15" s="465"/>
      <c r="AA15" s="465"/>
      <c r="AB15" s="480">
        <v>0.87</v>
      </c>
      <c r="AC15" s="480"/>
      <c r="AD15" s="480">
        <v>3.34</v>
      </c>
      <c r="AE15" s="480">
        <v>1.19</v>
      </c>
      <c r="AF15" s="480"/>
      <c r="AG15" s="481"/>
      <c r="AH15" s="466">
        <f>SUM(C15:AG15)</f>
        <v>13.689999999999998</v>
      </c>
      <c r="AI15" s="62"/>
      <c r="AJ15" s="463" t="s">
        <v>216</v>
      </c>
      <c r="AK15" s="212" t="s">
        <v>197</v>
      </c>
      <c r="AL15" s="271">
        <f>SUM(C15:Z15)</f>
        <v>8.2899999999999991</v>
      </c>
      <c r="AM15" s="272">
        <f>SUM(AA15:AG15)</f>
        <v>5.4</v>
      </c>
      <c r="AN15" s="274"/>
    </row>
    <row r="16" spans="1:40" s="102" customFormat="1" x14ac:dyDescent="0.25">
      <c r="A16" s="224"/>
      <c r="B16" s="225" t="s">
        <v>232</v>
      </c>
      <c r="C16" s="479">
        <f>C10-C15</f>
        <v>0</v>
      </c>
      <c r="D16" s="479">
        <f t="shared" ref="D16:AG16" si="4">D10-D15</f>
        <v>0</v>
      </c>
      <c r="E16" s="479">
        <f t="shared" si="4"/>
        <v>0</v>
      </c>
      <c r="F16" s="479">
        <f t="shared" si="4"/>
        <v>0</v>
      </c>
      <c r="G16" s="479">
        <f t="shared" si="4"/>
        <v>0</v>
      </c>
      <c r="H16" s="479">
        <f t="shared" si="4"/>
        <v>0</v>
      </c>
      <c r="I16" s="479">
        <f t="shared" si="4"/>
        <v>0</v>
      </c>
      <c r="J16" s="479">
        <f t="shared" si="4"/>
        <v>33.909999999999997</v>
      </c>
      <c r="K16" s="479">
        <f t="shared" si="4"/>
        <v>31.820000000000004</v>
      </c>
      <c r="L16" s="479">
        <f t="shared" si="4"/>
        <v>53.23</v>
      </c>
      <c r="M16" s="479">
        <f t="shared" si="4"/>
        <v>0</v>
      </c>
      <c r="N16" s="479">
        <f t="shared" si="4"/>
        <v>0</v>
      </c>
      <c r="O16" s="479">
        <f t="shared" si="4"/>
        <v>31.820000000000004</v>
      </c>
      <c r="P16" s="479">
        <f t="shared" si="4"/>
        <v>23.86</v>
      </c>
      <c r="Q16" s="479">
        <f t="shared" si="4"/>
        <v>0</v>
      </c>
      <c r="R16" s="479">
        <f t="shared" si="4"/>
        <v>0</v>
      </c>
      <c r="S16" s="479">
        <f t="shared" si="4"/>
        <v>36.050000000000004</v>
      </c>
      <c r="T16" s="479">
        <f t="shared" si="4"/>
        <v>0</v>
      </c>
      <c r="U16" s="479">
        <f t="shared" si="4"/>
        <v>31.8</v>
      </c>
      <c r="V16" s="479">
        <f t="shared" si="4"/>
        <v>0</v>
      </c>
      <c r="W16" s="479">
        <f t="shared" si="4"/>
        <v>15.38</v>
      </c>
      <c r="X16" s="479">
        <f t="shared" si="4"/>
        <v>0</v>
      </c>
      <c r="Y16" s="479">
        <f t="shared" si="4"/>
        <v>0</v>
      </c>
      <c r="Z16" s="479">
        <f t="shared" si="4"/>
        <v>0</v>
      </c>
      <c r="AA16" s="479">
        <f t="shared" si="4"/>
        <v>0</v>
      </c>
      <c r="AB16" s="479">
        <f t="shared" si="4"/>
        <v>27.04</v>
      </c>
      <c r="AC16" s="479">
        <f t="shared" si="4"/>
        <v>0</v>
      </c>
      <c r="AD16" s="479">
        <f t="shared" si="4"/>
        <v>103.92</v>
      </c>
      <c r="AE16" s="479">
        <f t="shared" si="4"/>
        <v>37.11</v>
      </c>
      <c r="AF16" s="479">
        <f t="shared" si="4"/>
        <v>0</v>
      </c>
      <c r="AG16" s="479">
        <f t="shared" si="4"/>
        <v>0</v>
      </c>
      <c r="AH16" s="226"/>
      <c r="AI16" s="62"/>
      <c r="AJ16" s="224"/>
      <c r="AK16" s="225"/>
      <c r="AL16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11:AK11"/>
    <mergeCell ref="AL11:AM11"/>
  </mergeCells>
  <conditionalFormatting sqref="C13:AG13">
    <cfRule type="cellIs" dxfId="3" priority="4" operator="notEqual">
      <formula>0</formula>
    </cfRule>
  </conditionalFormatting>
  <conditionalFormatting sqref="C13:AG13">
    <cfRule type="cellIs" dxfId="2" priority="3" operator="notEqual">
      <formula>0</formula>
    </cfRule>
  </conditionalFormatting>
  <conditionalFormatting sqref="AN11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60" orientation="landscape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workbookViewId="0">
      <selection activeCell="H9" sqref="H9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February  2024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5" t="s">
        <v>181</v>
      </c>
      <c r="B3" s="526"/>
      <c r="C3" s="527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77601.3</v>
      </c>
      <c r="D4" s="519"/>
      <c r="E4" s="520"/>
      <c r="F4" s="520"/>
    </row>
    <row r="5" spans="1:6" ht="14.1" customHeight="1" x14ac:dyDescent="0.25">
      <c r="A5" s="90" t="s">
        <v>173</v>
      </c>
      <c r="B5" s="91" t="s">
        <v>63</v>
      </c>
      <c r="C5" s="187">
        <f>Pool!AH9</f>
        <v>0</v>
      </c>
      <c r="D5" s="523"/>
      <c r="E5" s="524"/>
      <c r="F5" s="524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19182.5</v>
      </c>
      <c r="D6" s="521"/>
      <c r="E6" s="522"/>
      <c r="F6" s="522"/>
    </row>
    <row r="7" spans="1:6" ht="14.1" customHeight="1" x14ac:dyDescent="0.25">
      <c r="A7" s="90" t="s">
        <v>157</v>
      </c>
      <c r="B7" s="91" t="s">
        <v>158</v>
      </c>
      <c r="C7" s="187">
        <f>Pool!AH8</f>
        <v>0</v>
      </c>
      <c r="D7" s="523"/>
      <c r="E7" s="524"/>
      <c r="F7" s="524"/>
    </row>
    <row r="8" spans="1:6" ht="14.1" customHeight="1" x14ac:dyDescent="0.25">
      <c r="A8" s="90" t="s">
        <v>159</v>
      </c>
      <c r="B8" s="91" t="s">
        <v>168</v>
      </c>
      <c r="C8" s="187">
        <f>Pool!AH10</f>
        <v>0</v>
      </c>
      <c r="D8" s="523"/>
      <c r="E8" s="524"/>
      <c r="F8" s="524"/>
    </row>
    <row r="9" spans="1:6" ht="14.1" customHeight="1" x14ac:dyDescent="0.25">
      <c r="A9" s="90" t="s">
        <v>34</v>
      </c>
      <c r="B9" s="91" t="s">
        <v>35</v>
      </c>
      <c r="C9" s="187">
        <f>Pool!AH14</f>
        <v>1157</v>
      </c>
      <c r="D9" s="523"/>
      <c r="E9" s="524"/>
      <c r="F9" s="524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4165.49</v>
      </c>
      <c r="D10" s="523"/>
      <c r="E10" s="524"/>
      <c r="F10" s="524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23"/>
      <c r="E11" s="524"/>
      <c r="F11" s="524"/>
    </row>
    <row r="12" spans="1:6" ht="14.1" customHeight="1" x14ac:dyDescent="0.25">
      <c r="A12" s="90" t="s">
        <v>77</v>
      </c>
      <c r="B12" s="91" t="s">
        <v>193</v>
      </c>
      <c r="C12" s="187">
        <f>Pool!AH18</f>
        <v>2808.5</v>
      </c>
      <c r="D12" s="523"/>
      <c r="E12" s="524"/>
      <c r="F12" s="524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23"/>
      <c r="E13" s="524"/>
      <c r="F13" s="524"/>
    </row>
    <row r="14" spans="1:6" ht="14.1" customHeight="1" x14ac:dyDescent="0.25">
      <c r="A14" s="90" t="s">
        <v>40</v>
      </c>
      <c r="B14" s="91" t="s">
        <v>228</v>
      </c>
      <c r="C14" s="187">
        <f>Pool!AH20</f>
        <v>0</v>
      </c>
      <c r="D14" s="523"/>
      <c r="E14" s="524"/>
      <c r="F14" s="524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0</v>
      </c>
      <c r="D15" s="523"/>
      <c r="E15" s="524"/>
      <c r="F15" s="524"/>
    </row>
    <row r="16" spans="1:6" ht="14.1" hidden="1" customHeight="1" x14ac:dyDescent="0.25">
      <c r="A16" s="467" t="s">
        <v>42</v>
      </c>
      <c r="B16" s="468" t="s">
        <v>43</v>
      </c>
      <c r="C16" s="469">
        <f>Pool!AH22</f>
        <v>0</v>
      </c>
      <c r="D16" s="523"/>
      <c r="E16" s="524"/>
      <c r="F16" s="524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23"/>
      <c r="E17" s="524"/>
      <c r="F17" s="524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23"/>
      <c r="E18" s="524"/>
      <c r="F18" s="524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23"/>
      <c r="E19" s="524"/>
      <c r="F19" s="524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23"/>
      <c r="E20" s="524"/>
      <c r="F20" s="524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23"/>
      <c r="E21" s="524"/>
      <c r="F21" s="524"/>
    </row>
    <row r="22" spans="1:7" ht="14.1" customHeight="1" x14ac:dyDescent="0.25">
      <c r="A22" s="189"/>
      <c r="B22" s="207" t="s">
        <v>64</v>
      </c>
      <c r="C22" s="470">
        <f>C4+C5+C6+C7+C8+C9+C10+C11+C12+C15+C14</f>
        <v>104914.79000000001</v>
      </c>
      <c r="D22" s="524" t="s">
        <v>171</v>
      </c>
      <c r="E22" s="524"/>
      <c r="F22" s="524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5" t="s">
        <v>174</v>
      </c>
      <c r="B24" s="526"/>
      <c r="C24" s="527"/>
    </row>
    <row r="25" spans="1:7" ht="14.1" customHeight="1" x14ac:dyDescent="0.25">
      <c r="A25" s="126" t="s">
        <v>61</v>
      </c>
      <c r="B25" s="394" t="s">
        <v>62</v>
      </c>
      <c r="C25" s="395">
        <f>Pool!AH3</f>
        <v>431.71000000000004</v>
      </c>
      <c r="D25" s="523"/>
      <c r="E25" s="524"/>
      <c r="F25" s="524"/>
    </row>
    <row r="26" spans="1:7" ht="14.1" hidden="1" customHeight="1" x14ac:dyDescent="0.25">
      <c r="A26" s="129" t="s">
        <v>153</v>
      </c>
      <c r="B26" s="396" t="s">
        <v>154</v>
      </c>
      <c r="C26" s="398">
        <f>Pool!AH11</f>
        <v>0</v>
      </c>
      <c r="D26" s="523" t="s">
        <v>179</v>
      </c>
      <c r="E26" s="524"/>
      <c r="F26" s="524"/>
    </row>
    <row r="27" spans="1:7" ht="14.1" hidden="1" customHeight="1" x14ac:dyDescent="0.25">
      <c r="A27" s="129" t="s">
        <v>164</v>
      </c>
      <c r="B27" s="396" t="s">
        <v>165</v>
      </c>
      <c r="C27" s="398">
        <f>Pool!AH12</f>
        <v>0</v>
      </c>
      <c r="D27" s="523" t="s">
        <v>169</v>
      </c>
      <c r="E27" s="524"/>
      <c r="F27" s="524"/>
    </row>
    <row r="28" spans="1:7" ht="14.1" hidden="1" customHeight="1" x14ac:dyDescent="0.25">
      <c r="A28" s="129" t="s">
        <v>166</v>
      </c>
      <c r="B28" s="396" t="s">
        <v>167</v>
      </c>
      <c r="C28" s="398">
        <f>Pool!AH13</f>
        <v>0</v>
      </c>
      <c r="D28" s="523" t="s">
        <v>170</v>
      </c>
      <c r="E28" s="524"/>
      <c r="F28" s="524"/>
    </row>
    <row r="29" spans="1:7" ht="14.1" customHeight="1" thickBot="1" x14ac:dyDescent="0.3">
      <c r="A29" s="135" t="s">
        <v>109</v>
      </c>
      <c r="B29" s="397" t="s">
        <v>175</v>
      </c>
      <c r="C29" s="399">
        <f>Pool!AH28</f>
        <v>179</v>
      </c>
      <c r="D29" s="523" t="s">
        <v>175</v>
      </c>
      <c r="E29" s="524"/>
      <c r="F29" s="524"/>
    </row>
    <row r="30" spans="1:7" ht="14.1" customHeight="1" x14ac:dyDescent="0.25">
      <c r="A30" s="116"/>
      <c r="B30" s="400" t="s">
        <v>176</v>
      </c>
      <c r="C30" s="401">
        <f>SUM(C25:C29)</f>
        <v>610.71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177</v>
      </c>
      <c r="C32" s="404">
        <f>C30+C22</f>
        <v>105525.50000000001</v>
      </c>
      <c r="D32" s="524" t="s">
        <v>178</v>
      </c>
      <c r="E32" s="524"/>
      <c r="F32" s="524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5" t="s">
        <v>180</v>
      </c>
      <c r="B34" s="526"/>
      <c r="C34" s="527"/>
    </row>
    <row r="35" spans="1:6" ht="14.1" customHeight="1" x14ac:dyDescent="0.25">
      <c r="A35" s="126" t="s">
        <v>60</v>
      </c>
      <c r="B35" s="127" t="s">
        <v>86</v>
      </c>
      <c r="C35" s="157">
        <f>Pool!AL33</f>
        <v>15856.38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768.5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73954.58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12118.42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52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2784.3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-218.68000000000029</v>
      </c>
      <c r="D42" s="528"/>
      <c r="E42" s="529"/>
      <c r="F42" s="529"/>
    </row>
    <row r="43" spans="1:6" ht="14.1" customHeight="1" x14ac:dyDescent="0.25">
      <c r="A43" s="361" t="s">
        <v>67</v>
      </c>
      <c r="B43" s="362" t="s">
        <v>91</v>
      </c>
      <c r="C43" s="379">
        <f>Pool!AL37</f>
        <v>0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210</v>
      </c>
    </row>
    <row r="45" spans="1:6" ht="12.75" customHeight="1" x14ac:dyDescent="0.25">
      <c r="A45" s="205"/>
      <c r="B45" s="208" t="s">
        <v>65</v>
      </c>
      <c r="C45" s="209">
        <f>SUM(C35:C44)</f>
        <v>105525.5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4257</v>
      </c>
    </row>
    <row r="48" spans="1:6" ht="14.1" customHeight="1" x14ac:dyDescent="0.25">
      <c r="B48" s="129" t="s">
        <v>58</v>
      </c>
      <c r="C48" s="237">
        <f>Pool!AJ48</f>
        <v>1335</v>
      </c>
    </row>
    <row r="49" spans="1:5" ht="14.1" customHeight="1" thickBot="1" x14ac:dyDescent="0.3">
      <c r="B49" s="238" t="s">
        <v>106</v>
      </c>
      <c r="C49" s="239">
        <f>C47+C48</f>
        <v>5592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16.414242193707537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98.142857142857139</v>
      </c>
    </row>
    <row r="55" spans="1:5" ht="14.1" customHeight="1" x14ac:dyDescent="0.25">
      <c r="A55" s="264"/>
      <c r="B55" s="312" t="s">
        <v>134</v>
      </c>
      <c r="C55" s="313">
        <f>Pool!AJ58</f>
        <v>0</v>
      </c>
    </row>
    <row r="56" spans="1:5" ht="14.1" customHeight="1" x14ac:dyDescent="0.25">
      <c r="B56" s="312" t="s">
        <v>136</v>
      </c>
      <c r="C56" s="313">
        <f>Pool!AJ59</f>
        <v>78.86363636363636</v>
      </c>
    </row>
    <row r="57" spans="1:5" ht="14.1" customHeight="1" thickBot="1" x14ac:dyDescent="0.3">
      <c r="B57" s="314" t="s">
        <v>140</v>
      </c>
      <c r="C57" s="315">
        <f>Pool!AJ60</f>
        <v>0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February  2024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0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0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0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0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0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0</v>
      </c>
    </row>
    <row r="14" spans="1:5" x14ac:dyDescent="0.25">
      <c r="A14" s="129" t="s">
        <v>60</v>
      </c>
      <c r="B14" s="130" t="s">
        <v>94</v>
      </c>
      <c r="C14" s="131">
        <f>'Box Canon'!AM20</f>
        <v>0</v>
      </c>
    </row>
    <row r="15" spans="1:5" x14ac:dyDescent="0.25">
      <c r="A15" s="129" t="s">
        <v>60</v>
      </c>
      <c r="B15" s="130" t="s">
        <v>93</v>
      </c>
      <c r="C15" s="131">
        <f>'Box Canon'!AL21</f>
        <v>0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0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0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0</v>
      </c>
    </row>
    <row r="23" spans="1:4" ht="15.75" thickBot="1" x14ac:dyDescent="0.3"/>
    <row r="24" spans="1:4" x14ac:dyDescent="0.25">
      <c r="B24" s="530" t="s">
        <v>57</v>
      </c>
      <c r="C24" s="531"/>
    </row>
    <row r="25" spans="1:4" x14ac:dyDescent="0.25">
      <c r="B25" s="143" t="s">
        <v>75</v>
      </c>
      <c r="C25" s="145">
        <f>'Box Canon'!AJ32</f>
        <v>0</v>
      </c>
    </row>
    <row r="26" spans="1:4" x14ac:dyDescent="0.25">
      <c r="B26" s="143" t="s">
        <v>74</v>
      </c>
      <c r="C26" s="145">
        <f>'Box Canon'!AJ33</f>
        <v>0</v>
      </c>
    </row>
    <row r="27" spans="1:4" x14ac:dyDescent="0.25">
      <c r="B27" s="143" t="s">
        <v>199</v>
      </c>
      <c r="C27" s="145">
        <f>'Box Canon'!AJ34</f>
        <v>0</v>
      </c>
    </row>
    <row r="28" spans="1:4" x14ac:dyDescent="0.25">
      <c r="B28" s="143" t="s">
        <v>72</v>
      </c>
      <c r="C28" s="145">
        <f>'Box Canon'!AJ35</f>
        <v>0</v>
      </c>
    </row>
    <row r="29" spans="1:4" x14ac:dyDescent="0.25">
      <c r="B29" s="143" t="s">
        <v>73</v>
      </c>
      <c r="C29" s="145">
        <f>'Box Canon'!AJ36</f>
        <v>0</v>
      </c>
    </row>
    <row r="30" spans="1:4" x14ac:dyDescent="0.25">
      <c r="B30" s="143" t="s">
        <v>71</v>
      </c>
      <c r="C30" s="145">
        <f>'Box Canon'!AJ37</f>
        <v>0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0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6" sqref="C6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February 2024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41.480000000000004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438.62</v>
      </c>
      <c r="D4" s="116"/>
    </row>
    <row r="5" spans="1:5" x14ac:dyDescent="0.25">
      <c r="A5" s="252" t="s">
        <v>210</v>
      </c>
      <c r="B5" s="253" t="s">
        <v>234</v>
      </c>
      <c r="C5" s="131">
        <f>'Visitor Center'!AH5</f>
        <v>36</v>
      </c>
      <c r="D5" s="116"/>
    </row>
    <row r="6" spans="1:5" x14ac:dyDescent="0.25">
      <c r="A6" s="252" t="s">
        <v>210</v>
      </c>
      <c r="B6" s="253" t="s">
        <v>233</v>
      </c>
      <c r="C6" s="131">
        <f>'Visitor Center'!AH6</f>
        <v>0</v>
      </c>
      <c r="D6" s="116"/>
    </row>
    <row r="7" spans="1:5" x14ac:dyDescent="0.25">
      <c r="A7" s="252" t="s">
        <v>214</v>
      </c>
      <c r="B7" s="130" t="s">
        <v>215</v>
      </c>
      <c r="C7" s="131">
        <f>-'Visitor Center'!AL13</f>
        <v>0.22000000000001307</v>
      </c>
      <c r="D7" s="116"/>
    </row>
    <row r="8" spans="1:5" ht="15.75" thickBot="1" x14ac:dyDescent="0.3">
      <c r="A8" s="182"/>
      <c r="B8" s="183"/>
      <c r="C8" s="184"/>
      <c r="D8" s="254"/>
      <c r="E8" s="170"/>
    </row>
    <row r="9" spans="1:5" x14ac:dyDescent="0.25">
      <c r="A9" s="116"/>
      <c r="B9" s="248" t="s">
        <v>64</v>
      </c>
      <c r="C9" s="206"/>
      <c r="D9" s="249">
        <f>SUM(C3:C7)</f>
        <v>516.32000000000005</v>
      </c>
    </row>
    <row r="10" spans="1:5" ht="15.75" thickBot="1" x14ac:dyDescent="0.3">
      <c r="C10" s="156"/>
    </row>
    <row r="11" spans="1:5" x14ac:dyDescent="0.25">
      <c r="A11" s="126" t="s">
        <v>60</v>
      </c>
      <c r="B11" s="127" t="s">
        <v>218</v>
      </c>
      <c r="C11" s="128">
        <f>'Visitor Center'!AL9</f>
        <v>76.690000000000012</v>
      </c>
    </row>
    <row r="12" spans="1:5" x14ac:dyDescent="0.25">
      <c r="A12" s="129" t="s">
        <v>60</v>
      </c>
      <c r="B12" s="130" t="s">
        <v>219</v>
      </c>
      <c r="C12" s="131">
        <f>'Visitor Center'!AM9</f>
        <v>0</v>
      </c>
    </row>
    <row r="13" spans="1:5" x14ac:dyDescent="0.25">
      <c r="A13" s="129" t="s">
        <v>60</v>
      </c>
      <c r="B13" s="130" t="s">
        <v>220</v>
      </c>
      <c r="C13" s="131">
        <f>'Visitor Center'!AL10</f>
        <v>257.87</v>
      </c>
      <c r="E13" s="255">
        <f>D9-D18</f>
        <v>0</v>
      </c>
    </row>
    <row r="14" spans="1:5" x14ac:dyDescent="0.25">
      <c r="A14" s="129" t="s">
        <v>60</v>
      </c>
      <c r="B14" s="130" t="s">
        <v>221</v>
      </c>
      <c r="C14" s="131">
        <f>'Visitor Center'!AM10</f>
        <v>168.07000000000002</v>
      </c>
    </row>
    <row r="15" spans="1:5" x14ac:dyDescent="0.25">
      <c r="A15" s="129" t="s">
        <v>216</v>
      </c>
      <c r="B15" s="130" t="s">
        <v>223</v>
      </c>
      <c r="C15" s="131">
        <f>'Visitor Center'!AL15+'Visitor Center'!AM15</f>
        <v>13.69</v>
      </c>
    </row>
    <row r="16" spans="1:5" x14ac:dyDescent="0.25">
      <c r="A16" s="129"/>
      <c r="B16" s="130"/>
      <c r="C16" s="131"/>
    </row>
    <row r="17" spans="1:4" ht="15.75" thickBot="1" x14ac:dyDescent="0.3">
      <c r="A17" s="182"/>
      <c r="B17" s="183"/>
      <c r="C17" s="184"/>
      <c r="D17" s="170"/>
    </row>
    <row r="18" spans="1:4" x14ac:dyDescent="0.25">
      <c r="B18" s="248" t="s">
        <v>65</v>
      </c>
      <c r="C18" s="206"/>
      <c r="D18" s="249">
        <f>SUM(C11:C16)</f>
        <v>516.32000000000005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2024-03-11T16:25:33Z</cp:lastPrinted>
  <dcterms:created xsi:type="dcterms:W3CDTF">2017-08-14T15:26:56Z</dcterms:created>
  <dcterms:modified xsi:type="dcterms:W3CDTF">2024-03-11T16:53:20Z</dcterms:modified>
</cp:coreProperties>
</file>