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5" l="1"/>
  <c r="AM34" i="3" l="1"/>
  <c r="AM45" i="3"/>
  <c r="AL45" i="3"/>
  <c r="AL34" i="3" s="1"/>
  <c r="AM33" i="3" l="1"/>
  <c r="AL33" i="3"/>
  <c r="AL13" i="10"/>
  <c r="AL8" i="10"/>
  <c r="AM8" i="10"/>
  <c r="AM13" i="10"/>
  <c r="AG14" i="10" l="1"/>
  <c r="AA14" i="10" l="1"/>
  <c r="AD14" i="10"/>
  <c r="AL7" i="10" l="1"/>
  <c r="AM7" i="10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I52" i="3"/>
  <c r="V14" i="10" l="1"/>
  <c r="W14" i="10"/>
  <c r="P14" i="10" l="1"/>
  <c r="R14" i="10"/>
  <c r="N14" i="10"/>
  <c r="H14" i="10" l="1"/>
  <c r="E14" i="10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54" i="3"/>
  <c r="C50" i="3"/>
  <c r="C52" i="3" s="1"/>
  <c r="AN25" i="9" l="1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L35" i="3" l="1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1" i="11"/>
  <c r="C10" i="11"/>
  <c r="C13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4" i="11" l="1"/>
  <c r="C6" i="5"/>
  <c r="C12" i="11"/>
  <c r="C41" i="5"/>
  <c r="AH9" i="10"/>
  <c r="AH11" i="10"/>
  <c r="AL11" i="10" s="1"/>
  <c r="D17" i="11" l="1"/>
  <c r="AL9" i="10"/>
  <c r="AN9" i="10" s="1"/>
  <c r="C6" i="11"/>
  <c r="D8" i="11" s="1"/>
  <c r="C18" i="7"/>
  <c r="C17" i="7"/>
  <c r="AM22" i="9"/>
  <c r="AL22" i="9"/>
  <c r="AL21" i="9"/>
  <c r="E12" i="11" l="1"/>
  <c r="AM12" i="10"/>
  <c r="AN12" i="10" s="1"/>
  <c r="AL25" i="9"/>
  <c r="AM29" i="9" l="1"/>
  <c r="AL29" i="9"/>
  <c r="AL24" i="9"/>
  <c r="AM21" i="9"/>
  <c r="AM20" i="9"/>
  <c r="AL20" i="9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s="1"/>
  <c r="C32" i="7" l="1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H41" i="3" l="1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E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</t>
        </r>
      </text>
    </comment>
    <comment ref="F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receipt with 2 adult admissions ($52) refunded 3/5. Rung up by accident with employee snack cash sale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$52 refund processed
$20.80 cash sale refunded 3/8, should have been cc
$2.91 true over/short</t>
        </r>
      </text>
    </comment>
    <comment ref="S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T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$16 sale rung up, no cash collected. Refunded on 3/20
</t>
        </r>
      </text>
    </comment>
    <comment ref="U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adult admissions rung up when puch pass redemtion should have been used $41.60 refunded 3/20</t>
        </r>
      </text>
    </comment>
    <comment ref="AA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<sst xmlns="http://schemas.openxmlformats.org/spreadsheetml/2006/main" count="581" uniqueCount="235">
  <si>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</si>
  <si>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</si>
  <si>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</si>
  <si>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</si>
  <si>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</si>
  <si>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</si>
  <si>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</si>
  <si>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</si>
  <si>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</si>
  <si>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</si>
  <si>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</si>
  <si>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</si>
  <si>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</si>
  <si>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</si>
  <si>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</si>
  <si>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</si>
  <si>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</si>
  <si>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</si>
  <si>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</si>
  <si>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</si>
  <si>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</si>
  <si>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</si>
  <si>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</si>
  <si>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</si>
  <si>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</si>
  <si>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</si>
  <si>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</si>
  <si>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</si>
  <si>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</si>
  <si>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</si>
  <si>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</si>
  <si>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</si>
  <si>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</si>
  <si>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</si>
  <si>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</si>
  <si>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</si>
  <si>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</si>
  <si>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</si>
  <si>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</si>
  <si>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</si>
  <si>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</si>
  <si>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</si>
  <si>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</si>
  <si>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</si>
  <si>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</si>
  <si>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</si>
  <si>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</si>
  <si>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</si>
  <si>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</si>
  <si>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</si>
  <si>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</si>
  <si>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</si>
  <si>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</si>
  <si>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</si>
  <si>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</si>
  <si>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</si>
  <si>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</si>
  <si>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</si>
  <si>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</si>
  <si>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</si>
  <si>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</si>
  <si>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</si>
  <si>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</si>
  <si>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</si>
  <si>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</si>
  <si>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</si>
  <si>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</si>
  <si>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</si>
  <si>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</si>
  <si>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</si>
  <si>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</si>
  <si>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</si>
  <si>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</si>
  <si>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</si>
  <si>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</si>
  <si>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</si>
  <si>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</si>
  <si>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</si>
  <si>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</si>
  <si>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</si>
  <si>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</si>
  <si>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</si>
  <si>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</si>
  <si>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</si>
  <si>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</si>
  <si>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</si>
  <si>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</si>
  <si>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</si>
  <si>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</si>
  <si>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</si>
  <si>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</si>
  <si>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</si>
  <si>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</si>
  <si>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</si>
  <si>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</si>
  <si>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</si>
  <si>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</si>
  <si>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</si>
  <si>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</si>
  <si>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</si>
  <si>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</si>
  <si>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</si>
  <si>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</si>
  <si>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</si>
  <si>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</si>
  <si>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</si>
  <si>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</si>
  <si>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</si>
  <si>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</si>
  <si>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</si>
  <si>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</si>
  <si>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</si>
  <si>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</si>
  <si>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</si>
  <si>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</si>
  <si>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</si>
  <si>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</si>
  <si>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</si>
  <si>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</si>
  <si>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</si>
  <si>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</si>
  <si>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</si>
  <si>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</si>
  <si>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</si>
  <si>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</si>
  <si>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</si>
  <si>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</si>
  <si>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</si>
  <si>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</si>
  <si>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</si>
  <si>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</si>
  <si>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</si>
  <si>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</si>
  <si>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</si>
  <si>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</si>
  <si>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</si>
  <si>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</si>
  <si>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</si>
  <si>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</si>
  <si>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</si>
  <si>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</si>
  <si>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</si>
  <si>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</si>
  <si>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</si>
  <si>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</si>
  <si>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</si>
  <si>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</si>
  <si>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</si>
  <si>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</si>
  <si>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</si>
  <si>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</si>
  <si>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</si>
  <si>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</si>
  <si>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</si>
  <si>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</si>
  <si>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</si>
  <si>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</si>
  <si>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</si>
  <si>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</si>
  <si>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</si>
  <si>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</si>
  <si>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</si>
  <si>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</si>
  <si>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</si>
  <si>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</si>
  <si>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</si>
  <si>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</si>
  <si>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</si>
  <si>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</si>
  <si>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</si>
  <si>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</si>
  <si>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</si>
  <si>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</si>
  <si>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</si>
  <si>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</si>
  <si>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</si>
  <si>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</si>
  <si>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</si>
  <si>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</si>
  <si>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</si>
  <si>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</si>
  <si>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</si>
  <si>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</si>
  <si>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</si>
  <si>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</si>
  <si>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</si>
  <si>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</si>
  <si>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</si>
  <si>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</si>
  <si>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</si>
  <si>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</si>
  <si>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</si>
  <si>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</si>
  <si>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</si>
  <si>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</si>
  <si>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</si>
  <si>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</si>
  <si>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</si>
  <si>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</si>
  <si>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</si>
  <si>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</si>
  <si>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</si>
  <si>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</si>
  <si>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</si>
  <si>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</si>
  <si>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</si>
  <si>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</si>
  <si>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</si>
  <si>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</si>
  <si>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</si>
  <si>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</si>
  <si>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</si>
  <si>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</si>
  <si>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</si>
  <si>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</si>
  <si>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</si>
  <si>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</si>
  <si>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</si>
  <si>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</si>
  <si>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</si>
  <si>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</si>
  <si>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</si>
  <si>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</si>
  <si>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</si>
  <si>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</si>
  <si>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</si>
  <si>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</si>
  <si>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</si>
  <si>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</si>
  <si>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</si>
  <si>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</si>
  <si>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</si>
  <si>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</si>
  <si>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March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</si>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</sst>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9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2" fontId="12" fillId="7" borderId="46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2" fontId="45" fillId="7" borderId="46" xfId="0" applyNumberFormat="1" applyFont="1" applyFill="1" applyBorder="1" applyProtection="1"/>
    <xf numFmtId="2" fontId="45" fillId="7" borderId="58" xfId="0" applyNumberFormat="1" applyFont="1" applyFill="1" applyBorder="1" applyProtection="1"/>
    <xf numFmtId="0" fontId="45" fillId="7" borderId="46" xfId="0" applyFont="1" applyFill="1" applyBorder="1" applyProtection="1"/>
    <xf numFmtId="0" fontId="45" fillId="7" borderId="58" xfId="0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233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3" t="s">
        <v>1</v>
      </c>
      <c r="D4" s="494"/>
      <c r="E4" s="494"/>
      <c r="F4" s="494"/>
      <c r="G4" s="494"/>
      <c r="H4" s="494"/>
      <c r="I4" s="494"/>
      <c r="J4" s="494"/>
      <c r="K4" s="494"/>
      <c r="L4" s="494"/>
      <c r="M4" s="495"/>
      <c r="N4" s="6"/>
      <c r="O4" s="496" t="s">
        <v>2</v>
      </c>
      <c r="P4" s="497"/>
      <c r="Q4" s="497"/>
      <c r="R4" s="498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44986</v>
      </c>
      <c r="B8" s="232" t="str">
        <f>TEXT(A8, "DDD")</f>
        <v>Wed</v>
      </c>
      <c r="C8" s="152">
        <f t="array" ref="C8:C38">TRANSPOSE(Pool!C33:AG33)</f>
        <v>122.02</v>
      </c>
      <c r="D8" s="58">
        <f>'Box Canon'!C18+'Box Canon'!C19</f>
        <v>0</v>
      </c>
      <c r="E8" s="21"/>
      <c r="F8" s="21"/>
      <c r="G8" s="151">
        <f t="array" ref="G8:G38">TRANSPOSE(Pool!C34:AG34)</f>
        <v>1543.32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44987</v>
      </c>
      <c r="B9" s="232" t="str">
        <f t="shared" ref="B9:B38" si="0">TEXT(A9, "DDD")</f>
        <v>Thu</v>
      </c>
      <c r="C9" s="152">
        <v>76.709999999999994</v>
      </c>
      <c r="D9" s="58">
        <f>'Box Canon'!D18+'Box Canon'!D19</f>
        <v>0</v>
      </c>
      <c r="E9" s="21"/>
      <c r="F9" s="21"/>
      <c r="G9" s="151">
        <v>1466.28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44988</v>
      </c>
      <c r="B10" s="232" t="str">
        <f t="shared" si="0"/>
        <v>Fri</v>
      </c>
      <c r="C10" s="152">
        <v>118.91</v>
      </c>
      <c r="D10" s="58">
        <f>'Box Canon'!E18+'Box Canon'!E19</f>
        <v>0</v>
      </c>
      <c r="E10" s="21"/>
      <c r="F10" s="21"/>
      <c r="G10" s="151">
        <v>2253.35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44989</v>
      </c>
      <c r="B11" s="232" t="str">
        <f t="shared" si="0"/>
        <v>Sat</v>
      </c>
      <c r="C11" s="152">
        <v>845.74</v>
      </c>
      <c r="D11" s="58">
        <f>'Box Canon'!F18+'Box Canon'!F19</f>
        <v>0</v>
      </c>
      <c r="E11" s="21"/>
      <c r="F11" s="21"/>
      <c r="G11" s="151">
        <v>6312.17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44990</v>
      </c>
      <c r="B12" s="232" t="str">
        <f t="shared" si="0"/>
        <v>Sun</v>
      </c>
      <c r="C12" s="152">
        <v>748.33</v>
      </c>
      <c r="D12" s="58">
        <f>'Box Canon'!G18+'Box Canon'!G19</f>
        <v>0</v>
      </c>
      <c r="E12" s="21"/>
      <c r="F12" s="21"/>
      <c r="G12" s="151">
        <v>3180.86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44991</v>
      </c>
      <c r="B13" s="232" t="str">
        <f t="shared" si="0"/>
        <v>Mon</v>
      </c>
      <c r="C13" s="152">
        <v>192.02</v>
      </c>
      <c r="D13" s="58">
        <f>'Box Canon'!H18+'Box Canon'!H19</f>
        <v>0</v>
      </c>
      <c r="E13" s="21"/>
      <c r="F13" s="21"/>
      <c r="G13" s="151">
        <v>1030.54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44992</v>
      </c>
      <c r="B14" s="232" t="str">
        <f t="shared" si="0"/>
        <v>Tue</v>
      </c>
      <c r="C14" s="152">
        <v>0</v>
      </c>
      <c r="D14" s="58">
        <f>'Box Canon'!I18+'Box Canon'!I19</f>
        <v>0</v>
      </c>
      <c r="E14" s="21"/>
      <c r="F14" s="21"/>
      <c r="G14" s="151">
        <v>0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44993</v>
      </c>
      <c r="B15" s="232" t="str">
        <f t="shared" si="0"/>
        <v>Wed</v>
      </c>
      <c r="C15" s="152">
        <v>279.02</v>
      </c>
      <c r="D15" s="58">
        <f>'Box Canon'!J18+'Box Canon'!J19</f>
        <v>0</v>
      </c>
      <c r="E15" s="21"/>
      <c r="F15" s="21"/>
      <c r="G15" s="151">
        <v>984.53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44994</v>
      </c>
      <c r="B16" s="232" t="str">
        <f t="shared" si="0"/>
        <v>Thu</v>
      </c>
      <c r="C16" s="152">
        <v>428.69</v>
      </c>
      <c r="D16" s="58">
        <f>'Box Canon'!K18+'Box Canon'!K19</f>
        <v>0</v>
      </c>
      <c r="E16" s="21"/>
      <c r="F16" s="21"/>
      <c r="G16" s="151">
        <v>1771.91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44995</v>
      </c>
      <c r="B17" s="232" t="str">
        <f t="shared" si="0"/>
        <v>Fri</v>
      </c>
      <c r="C17" s="152">
        <v>196.77</v>
      </c>
      <c r="D17" s="58">
        <f>'Box Canon'!L18+'Box Canon'!L19</f>
        <v>0</v>
      </c>
      <c r="E17" s="21"/>
      <c r="F17" s="21"/>
      <c r="G17" s="151">
        <v>626.13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44996</v>
      </c>
      <c r="B18" s="232" t="str">
        <f t="shared" si="0"/>
        <v>Sat</v>
      </c>
      <c r="C18" s="152">
        <v>502.04</v>
      </c>
      <c r="D18" s="58">
        <f>'Box Canon'!M18+'Box Canon'!M19</f>
        <v>0</v>
      </c>
      <c r="E18" s="21"/>
      <c r="F18" s="21"/>
      <c r="G18" s="151">
        <v>3575.64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44997</v>
      </c>
      <c r="B19" s="232" t="str">
        <f t="shared" si="0"/>
        <v>Sun</v>
      </c>
      <c r="C19" s="152">
        <v>419.09</v>
      </c>
      <c r="D19" s="58">
        <f>'Box Canon'!N18+'Box Canon'!N19</f>
        <v>0</v>
      </c>
      <c r="E19" s="21"/>
      <c r="F19" s="21"/>
      <c r="G19" s="151">
        <v>5461.11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44998</v>
      </c>
      <c r="B20" s="232" t="str">
        <f t="shared" si="0"/>
        <v>Mon</v>
      </c>
      <c r="C20" s="152">
        <v>857.8</v>
      </c>
      <c r="D20" s="58">
        <f>'Box Canon'!O18+'Box Canon'!O19</f>
        <v>0</v>
      </c>
      <c r="E20" s="21"/>
      <c r="F20" s="21"/>
      <c r="G20" s="151">
        <v>4330.43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44999</v>
      </c>
      <c r="B21" s="232" t="str">
        <f t="shared" si="0"/>
        <v>Tue</v>
      </c>
      <c r="C21" s="152">
        <v>163.27000000000001</v>
      </c>
      <c r="D21" s="58">
        <f>'Box Canon'!P18+'Box Canon'!P19</f>
        <v>0</v>
      </c>
      <c r="E21" s="41"/>
      <c r="F21" s="21"/>
      <c r="G21" s="151">
        <v>952.53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45000</v>
      </c>
      <c r="B22" s="232" t="str">
        <f t="shared" si="0"/>
        <v>Wed</v>
      </c>
      <c r="C22" s="152">
        <v>798.37</v>
      </c>
      <c r="D22" s="58">
        <f>'Box Canon'!Q18+'Box Canon'!Q19</f>
        <v>0</v>
      </c>
      <c r="E22" s="21"/>
      <c r="F22" s="21"/>
      <c r="G22" s="151">
        <v>4368.95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45001</v>
      </c>
      <c r="B23" s="232" t="str">
        <f t="shared" si="0"/>
        <v>Thu</v>
      </c>
      <c r="C23" s="152">
        <v>686.62</v>
      </c>
      <c r="D23" s="58">
        <f>'Box Canon'!R18+'Box Canon'!R19</f>
        <v>0</v>
      </c>
      <c r="E23" s="21"/>
      <c r="F23" s="21"/>
      <c r="G23" s="151">
        <v>4488.5600000000004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45002</v>
      </c>
      <c r="B24" s="232" t="str">
        <f t="shared" si="0"/>
        <v>Fri</v>
      </c>
      <c r="C24" s="152">
        <v>765.23</v>
      </c>
      <c r="D24" s="58">
        <f>'Box Canon'!S18+'Box Canon'!S19</f>
        <v>0</v>
      </c>
      <c r="E24" s="21"/>
      <c r="F24" s="21"/>
      <c r="G24" s="151">
        <v>5533.63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45003</v>
      </c>
      <c r="B25" s="232" t="str">
        <f t="shared" si="0"/>
        <v>Sat</v>
      </c>
      <c r="C25" s="152">
        <v>1607.45</v>
      </c>
      <c r="D25" s="58">
        <f>'Box Canon'!T18+'Box Canon'!T19</f>
        <v>0</v>
      </c>
      <c r="E25" s="21"/>
      <c r="F25" s="21"/>
      <c r="G25" s="151">
        <v>9525.19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45004</v>
      </c>
      <c r="B26" s="232" t="str">
        <f t="shared" si="0"/>
        <v>Sun</v>
      </c>
      <c r="C26" s="152">
        <v>1542.64</v>
      </c>
      <c r="D26" s="58">
        <f>'Box Canon'!U18+'Box Canon'!U19</f>
        <v>0</v>
      </c>
      <c r="E26" s="21"/>
      <c r="F26" s="21"/>
      <c r="G26" s="151">
        <v>8396.39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45005</v>
      </c>
      <c r="B27" s="232" t="str">
        <f t="shared" si="0"/>
        <v>Mon</v>
      </c>
      <c r="C27" s="152">
        <v>595.01</v>
      </c>
      <c r="D27" s="58">
        <f>'Box Canon'!V18+'Box Canon'!V19</f>
        <v>0</v>
      </c>
      <c r="E27" s="21"/>
      <c r="F27" s="21"/>
      <c r="G27" s="151">
        <v>5270.98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45006</v>
      </c>
      <c r="B28" s="232" t="str">
        <f t="shared" si="0"/>
        <v>Tue</v>
      </c>
      <c r="C28" s="152">
        <v>121</v>
      </c>
      <c r="D28" s="58">
        <f>'Box Canon'!W18+'Box Canon'!W19</f>
        <v>0</v>
      </c>
      <c r="E28" s="21"/>
      <c r="F28" s="21"/>
      <c r="G28" s="151">
        <v>332.28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45007</v>
      </c>
      <c r="B29" s="232" t="str">
        <f t="shared" si="0"/>
        <v>Wed</v>
      </c>
      <c r="C29" s="152">
        <v>458.8</v>
      </c>
      <c r="D29" s="58">
        <f>'Box Canon'!X18+'Box Canon'!X19</f>
        <v>0</v>
      </c>
      <c r="E29" s="21"/>
      <c r="F29" s="21"/>
      <c r="G29" s="151">
        <v>1734.31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45008</v>
      </c>
      <c r="B30" s="232" t="str">
        <f t="shared" si="0"/>
        <v>Thu</v>
      </c>
      <c r="C30" s="152">
        <v>343.41</v>
      </c>
      <c r="D30" s="58">
        <f>'Box Canon'!Y18+'Box Canon'!Y19</f>
        <v>0</v>
      </c>
      <c r="E30" s="21"/>
      <c r="F30" s="21"/>
      <c r="G30" s="151">
        <v>3303.24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45009</v>
      </c>
      <c r="B31" s="232" t="str">
        <f t="shared" si="0"/>
        <v>Fri</v>
      </c>
      <c r="C31" s="152">
        <v>355.44</v>
      </c>
      <c r="D31" s="58">
        <f>'Box Canon'!Z18+'Box Canon'!Z19</f>
        <v>0</v>
      </c>
      <c r="E31" s="21"/>
      <c r="F31" s="21"/>
      <c r="G31" s="151">
        <v>3883.38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45010</v>
      </c>
      <c r="B32" s="232" t="str">
        <f t="shared" si="0"/>
        <v>Sat</v>
      </c>
      <c r="C32" s="152">
        <v>923.63</v>
      </c>
      <c r="D32" s="58">
        <f>'Box Canon'!AA18+'Box Canon'!AA19</f>
        <v>0</v>
      </c>
      <c r="E32" s="21"/>
      <c r="F32" s="21"/>
      <c r="G32" s="151">
        <v>7249.52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45011</v>
      </c>
      <c r="B33" s="232" t="str">
        <f t="shared" si="0"/>
        <v>Sun</v>
      </c>
      <c r="C33" s="152">
        <v>1530.58</v>
      </c>
      <c r="D33" s="58">
        <f>'Box Canon'!AB18+'Box Canon'!AB19</f>
        <v>0</v>
      </c>
      <c r="E33" s="21"/>
      <c r="F33" s="21"/>
      <c r="G33" s="151">
        <v>5265.95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45012</v>
      </c>
      <c r="B34" s="232" t="str">
        <f t="shared" si="0"/>
        <v>Mon</v>
      </c>
      <c r="C34" s="152">
        <v>357.5</v>
      </c>
      <c r="D34" s="58">
        <f>'Box Canon'!AC18+'Box Canon'!AC19</f>
        <v>0</v>
      </c>
      <c r="E34" s="21"/>
      <c r="F34" s="21"/>
      <c r="G34" s="151">
        <v>2844.89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45013</v>
      </c>
      <c r="B35" s="232" t="str">
        <f t="shared" si="0"/>
        <v>Tue</v>
      </c>
      <c r="C35" s="152">
        <v>66.760000000000005</v>
      </c>
      <c r="D35" s="58">
        <f>'Box Canon'!AD18+'Box Canon'!AD19</f>
        <v>0</v>
      </c>
      <c r="E35" s="21"/>
      <c r="F35" s="21"/>
      <c r="G35" s="151">
        <v>475.03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45014</v>
      </c>
      <c r="B36" s="232" t="str">
        <f t="shared" si="0"/>
        <v>Wed</v>
      </c>
      <c r="C36" s="152">
        <v>487.97</v>
      </c>
      <c r="D36" s="58">
        <f>'Box Canon'!AE18+'Box Canon'!AE19</f>
        <v>0</v>
      </c>
      <c r="E36" s="42"/>
      <c r="F36" s="21"/>
      <c r="G36" s="151">
        <v>3320.63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45015</v>
      </c>
      <c r="B37" s="232" t="str">
        <f t="shared" si="0"/>
        <v>Thu</v>
      </c>
      <c r="C37" s="152">
        <v>208.76</v>
      </c>
      <c r="D37" s="58">
        <f>'Box Canon'!AF18+'Box Canon'!AF19</f>
        <v>0</v>
      </c>
      <c r="E37" s="21"/>
      <c r="F37" s="21"/>
      <c r="G37" s="151">
        <v>690.62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45016</v>
      </c>
      <c r="B38" s="232" t="str">
        <f t="shared" si="0"/>
        <v>Fri</v>
      </c>
      <c r="C38" s="152">
        <v>669.39</v>
      </c>
      <c r="D38" s="58">
        <f>'Box Canon'!AG18+'Box Canon'!AG19</f>
        <v>0</v>
      </c>
      <c r="E38" s="21"/>
      <c r="F38" s="21"/>
      <c r="G38" s="151">
        <v>3722.61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16468.97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103894.95999999999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120363.93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16468.97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N6" sqref="AN6:AN7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March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44986</v>
      </c>
      <c r="D2" s="106">
        <f>C2+1</f>
        <v>44987</v>
      </c>
      <c r="E2" s="106">
        <f>D2+1</f>
        <v>44988</v>
      </c>
      <c r="F2" s="106">
        <f t="shared" ref="F2:AG2" si="0">E2+1</f>
        <v>44989</v>
      </c>
      <c r="G2" s="106">
        <f t="shared" si="0"/>
        <v>44990</v>
      </c>
      <c r="H2" s="106">
        <f t="shared" si="0"/>
        <v>44991</v>
      </c>
      <c r="I2" s="106">
        <f t="shared" si="0"/>
        <v>44992</v>
      </c>
      <c r="J2" s="106">
        <f t="shared" si="0"/>
        <v>44993</v>
      </c>
      <c r="K2" s="106">
        <f t="shared" si="0"/>
        <v>44994</v>
      </c>
      <c r="L2" s="106">
        <f t="shared" si="0"/>
        <v>44995</v>
      </c>
      <c r="M2" s="106">
        <f t="shared" si="0"/>
        <v>44996</v>
      </c>
      <c r="N2" s="106">
        <f t="shared" si="0"/>
        <v>44997</v>
      </c>
      <c r="O2" s="106">
        <f t="shared" si="0"/>
        <v>44998</v>
      </c>
      <c r="P2" s="106">
        <f t="shared" si="0"/>
        <v>44999</v>
      </c>
      <c r="Q2" s="106">
        <f t="shared" si="0"/>
        <v>45000</v>
      </c>
      <c r="R2" s="106">
        <f t="shared" si="0"/>
        <v>45001</v>
      </c>
      <c r="S2" s="106">
        <f t="shared" si="0"/>
        <v>45002</v>
      </c>
      <c r="T2" s="106">
        <f t="shared" si="0"/>
        <v>45003</v>
      </c>
      <c r="U2" s="106">
        <f t="shared" si="0"/>
        <v>45004</v>
      </c>
      <c r="V2" s="106">
        <f t="shared" si="0"/>
        <v>45005</v>
      </c>
      <c r="W2" s="106">
        <f t="shared" si="0"/>
        <v>45006</v>
      </c>
      <c r="X2" s="106">
        <f t="shared" si="0"/>
        <v>45007</v>
      </c>
      <c r="Y2" s="106">
        <f t="shared" si="0"/>
        <v>45008</v>
      </c>
      <c r="Z2" s="106">
        <f t="shared" si="0"/>
        <v>45009</v>
      </c>
      <c r="AA2" s="106">
        <f t="shared" si="0"/>
        <v>45010</v>
      </c>
      <c r="AB2" s="106">
        <f t="shared" si="0"/>
        <v>45011</v>
      </c>
      <c r="AC2" s="106">
        <f t="shared" si="0"/>
        <v>45012</v>
      </c>
      <c r="AD2" s="106">
        <f t="shared" si="0"/>
        <v>45013</v>
      </c>
      <c r="AE2" s="106">
        <f t="shared" si="0"/>
        <v>45014</v>
      </c>
      <c r="AF2" s="106">
        <f t="shared" si="0"/>
        <v>45015</v>
      </c>
      <c r="AG2" s="106">
        <f t="shared" si="0"/>
        <v>45016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9.0399999999999991</v>
      </c>
      <c r="D3" s="185">
        <v>4.49</v>
      </c>
      <c r="E3" s="185">
        <v>12.58</v>
      </c>
      <c r="F3" s="185">
        <v>30.18</v>
      </c>
      <c r="G3" s="185">
        <v>24.07</v>
      </c>
      <c r="H3" s="185">
        <v>8.42</v>
      </c>
      <c r="I3" s="185"/>
      <c r="J3" s="185">
        <v>9.9</v>
      </c>
      <c r="K3" s="185">
        <v>11.05</v>
      </c>
      <c r="L3" s="185">
        <v>10.98</v>
      </c>
      <c r="M3" s="185">
        <v>17.23</v>
      </c>
      <c r="N3" s="185">
        <v>24.97</v>
      </c>
      <c r="O3" s="185">
        <v>26.45</v>
      </c>
      <c r="P3" s="185">
        <v>7.16</v>
      </c>
      <c r="Q3" s="185">
        <v>27.75</v>
      </c>
      <c r="R3" s="185">
        <v>41.92</v>
      </c>
      <c r="S3" s="185">
        <v>28.98</v>
      </c>
      <c r="T3" s="185">
        <v>45.66</v>
      </c>
      <c r="U3" s="185">
        <v>37.380000000000003</v>
      </c>
      <c r="V3" s="185">
        <v>20.58</v>
      </c>
      <c r="W3" s="185">
        <v>4.7699999999999996</v>
      </c>
      <c r="X3" s="185">
        <v>16.079999999999998</v>
      </c>
      <c r="Y3" s="185">
        <v>18.23</v>
      </c>
      <c r="Z3" s="185">
        <v>20.079999999999998</v>
      </c>
      <c r="AA3" s="185">
        <v>43.59</v>
      </c>
      <c r="AB3" s="185">
        <v>37.81</v>
      </c>
      <c r="AC3" s="185">
        <v>17.28</v>
      </c>
      <c r="AD3" s="185">
        <v>4.13</v>
      </c>
      <c r="AE3" s="185">
        <v>20.41</v>
      </c>
      <c r="AF3" s="185">
        <v>5.92</v>
      </c>
      <c r="AG3" s="185">
        <v>24.05</v>
      </c>
      <c r="AH3" s="108">
        <f>SUM(C3:AG3)</f>
        <v>611.13999999999976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537.5</v>
      </c>
      <c r="D4" s="72">
        <v>874.4</v>
      </c>
      <c r="E4" s="71">
        <v>1516.8</v>
      </c>
      <c r="F4" s="71">
        <v>6410.8</v>
      </c>
      <c r="G4" s="71">
        <v>3302.4</v>
      </c>
      <c r="H4" s="71">
        <v>850</v>
      </c>
      <c r="I4" s="71"/>
      <c r="J4" s="71">
        <v>931.2</v>
      </c>
      <c r="K4" s="71">
        <v>1672.8</v>
      </c>
      <c r="L4" s="71">
        <v>879</v>
      </c>
      <c r="M4" s="71">
        <v>3518</v>
      </c>
      <c r="N4" s="71">
        <v>4268.3999999999996</v>
      </c>
      <c r="O4" s="71">
        <v>3863.6</v>
      </c>
      <c r="P4" s="71">
        <v>753</v>
      </c>
      <c r="Q4" s="71">
        <v>4210</v>
      </c>
      <c r="R4" s="71">
        <v>4234.3999999999996</v>
      </c>
      <c r="S4" s="71">
        <v>3894.4</v>
      </c>
      <c r="T4" s="71">
        <v>9719.6</v>
      </c>
      <c r="U4" s="71">
        <v>7084.8</v>
      </c>
      <c r="V4" s="71">
        <v>3771.4</v>
      </c>
      <c r="W4" s="71">
        <v>394</v>
      </c>
      <c r="X4" s="71">
        <v>1883</v>
      </c>
      <c r="Y4" s="71">
        <v>3075</v>
      </c>
      <c r="Z4" s="71">
        <v>3386.4</v>
      </c>
      <c r="AA4" s="71">
        <v>6900</v>
      </c>
      <c r="AB4" s="71">
        <v>5487.6</v>
      </c>
      <c r="AC4" s="71">
        <v>2579.1999999999998</v>
      </c>
      <c r="AD4" s="71">
        <v>494</v>
      </c>
      <c r="AE4" s="71">
        <v>2638.6</v>
      </c>
      <c r="AF4" s="71">
        <v>625</v>
      </c>
      <c r="AG4" s="71">
        <v>3101.6</v>
      </c>
      <c r="AH4" s="108">
        <f t="shared" ref="AH4:AH28" si="1">SUM(C4:AG4)</f>
        <v>92856.900000000009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9" customFormat="1" x14ac:dyDescent="0.25">
      <c r="A6" s="162" t="s">
        <v>152</v>
      </c>
      <c r="B6" s="163" t="s">
        <v>231</v>
      </c>
      <c r="C6" s="481">
        <v>517.5</v>
      </c>
      <c r="D6" s="482">
        <v>215</v>
      </c>
      <c r="E6" s="482">
        <v>335</v>
      </c>
      <c r="F6" s="482"/>
      <c r="G6" s="482"/>
      <c r="H6" s="482">
        <v>275</v>
      </c>
      <c r="I6" s="482"/>
      <c r="J6" s="482">
        <v>85</v>
      </c>
      <c r="K6" s="482">
        <v>220</v>
      </c>
      <c r="L6" s="482"/>
      <c r="M6" s="482"/>
      <c r="N6" s="482"/>
      <c r="O6" s="482">
        <v>60</v>
      </c>
      <c r="P6" s="482">
        <v>120</v>
      </c>
      <c r="Q6" s="482"/>
      <c r="R6" s="482"/>
      <c r="S6" s="482">
        <v>230</v>
      </c>
      <c r="T6" s="482"/>
      <c r="U6" s="482">
        <v>630</v>
      </c>
      <c r="V6" s="482">
        <v>405</v>
      </c>
      <c r="W6" s="482"/>
      <c r="X6" s="482"/>
      <c r="Y6" s="482"/>
      <c r="Z6" s="482">
        <v>125</v>
      </c>
      <c r="AA6" s="482">
        <v>200</v>
      </c>
      <c r="AB6" s="482"/>
      <c r="AC6" s="482"/>
      <c r="AD6" s="482"/>
      <c r="AE6" s="482">
        <v>385</v>
      </c>
      <c r="AF6" s="482"/>
      <c r="AG6" s="482"/>
      <c r="AH6" s="108">
        <f>SUM(C6:AG6)</f>
        <v>3802.5</v>
      </c>
      <c r="AI6" s="62"/>
      <c r="AJ6" s="162" t="s">
        <v>152</v>
      </c>
      <c r="AK6" s="163" t="s">
        <v>192</v>
      </c>
      <c r="AM6" s="483"/>
    </row>
    <row r="7" spans="1:39" s="469" customFormat="1" x14ac:dyDescent="0.25">
      <c r="A7" s="162" t="s">
        <v>152</v>
      </c>
      <c r="B7" s="163" t="s">
        <v>222</v>
      </c>
      <c r="C7" s="481">
        <v>320</v>
      </c>
      <c r="D7" s="482">
        <v>180</v>
      </c>
      <c r="E7" s="482">
        <v>360</v>
      </c>
      <c r="F7" s="482">
        <v>360</v>
      </c>
      <c r="G7" s="482">
        <v>320</v>
      </c>
      <c r="H7" s="482"/>
      <c r="I7" s="482"/>
      <c r="J7" s="482"/>
      <c r="K7" s="482">
        <v>180</v>
      </c>
      <c r="L7" s="482"/>
      <c r="M7" s="482">
        <v>360</v>
      </c>
      <c r="N7" s="482">
        <v>1320</v>
      </c>
      <c r="O7" s="482">
        <v>720</v>
      </c>
      <c r="P7" s="482"/>
      <c r="Q7" s="482">
        <v>540</v>
      </c>
      <c r="R7" s="482">
        <v>360</v>
      </c>
      <c r="S7" s="482">
        <v>1820</v>
      </c>
      <c r="T7" s="482">
        <v>900</v>
      </c>
      <c r="U7" s="482">
        <v>1680</v>
      </c>
      <c r="V7" s="482">
        <v>1040</v>
      </c>
      <c r="W7" s="482"/>
      <c r="X7" s="482"/>
      <c r="Y7" s="482">
        <v>360</v>
      </c>
      <c r="Z7" s="482">
        <v>180</v>
      </c>
      <c r="AA7" s="482">
        <v>500</v>
      </c>
      <c r="AB7" s="482">
        <v>860</v>
      </c>
      <c r="AC7" s="482">
        <v>360</v>
      </c>
      <c r="AD7" s="482"/>
      <c r="AE7" s="482">
        <v>320</v>
      </c>
      <c r="AF7" s="482">
        <v>180</v>
      </c>
      <c r="AG7" s="482">
        <v>860</v>
      </c>
      <c r="AH7" s="108">
        <f>SUM(C7:AG7)</f>
        <v>14080</v>
      </c>
      <c r="AI7" s="62"/>
      <c r="AJ7" s="162" t="s">
        <v>152</v>
      </c>
      <c r="AK7" s="163" t="s">
        <v>222</v>
      </c>
      <c r="AM7" s="483"/>
    </row>
    <row r="8" spans="1:39" s="469" customFormat="1" x14ac:dyDescent="0.25">
      <c r="A8" s="162" t="s">
        <v>157</v>
      </c>
      <c r="B8" s="163" t="s">
        <v>229</v>
      </c>
      <c r="C8" s="481"/>
      <c r="D8" s="482"/>
      <c r="E8" s="482"/>
      <c r="F8" s="482"/>
      <c r="G8" s="482"/>
      <c r="H8" s="482"/>
      <c r="I8" s="482"/>
      <c r="J8" s="482"/>
      <c r="K8" s="482"/>
      <c r="L8" s="482"/>
      <c r="M8" s="482"/>
      <c r="N8" s="482"/>
      <c r="O8" s="482"/>
      <c r="P8" s="482"/>
      <c r="Q8" s="482"/>
      <c r="R8" s="482"/>
      <c r="S8" s="482"/>
      <c r="T8" s="482"/>
      <c r="U8" s="482"/>
      <c r="V8" s="482"/>
      <c r="W8" s="482"/>
      <c r="X8" s="482"/>
      <c r="Y8" s="482"/>
      <c r="Z8" s="482"/>
      <c r="AA8" s="482"/>
      <c r="AB8" s="482"/>
      <c r="AC8" s="482"/>
      <c r="AD8" s="482"/>
      <c r="AE8" s="482"/>
      <c r="AF8" s="482"/>
      <c r="AG8" s="482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83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9" customFormat="1" x14ac:dyDescent="0.25">
      <c r="A10" s="162" t="s">
        <v>159</v>
      </c>
      <c r="B10" s="163" t="s">
        <v>230</v>
      </c>
      <c r="C10" s="481"/>
      <c r="D10" s="482"/>
      <c r="E10" s="482"/>
      <c r="F10" s="482"/>
      <c r="G10" s="482"/>
      <c r="H10" s="482"/>
      <c r="I10" s="482"/>
      <c r="J10" s="482"/>
      <c r="K10" s="482"/>
      <c r="L10" s="482"/>
      <c r="M10" s="482"/>
      <c r="N10" s="482"/>
      <c r="O10" s="482"/>
      <c r="P10" s="482"/>
      <c r="Q10" s="482">
        <v>2</v>
      </c>
      <c r="R10" s="482"/>
      <c r="S10" s="482"/>
      <c r="T10" s="482"/>
      <c r="U10" s="482"/>
      <c r="V10" s="482"/>
      <c r="W10" s="482"/>
      <c r="X10" s="482"/>
      <c r="Y10" s="482"/>
      <c r="Z10" s="482"/>
      <c r="AA10" s="482"/>
      <c r="AB10" s="482"/>
      <c r="AC10" s="482"/>
      <c r="AD10" s="482"/>
      <c r="AE10" s="482"/>
      <c r="AF10" s="482"/>
      <c r="AG10" s="482"/>
      <c r="AH10" s="108">
        <f t="shared" si="2"/>
        <v>2</v>
      </c>
      <c r="AI10" s="62"/>
      <c r="AJ10" s="162" t="s">
        <v>159</v>
      </c>
      <c r="AK10" s="163" t="s">
        <v>160</v>
      </c>
      <c r="AM10" s="483"/>
    </row>
    <row r="11" spans="1:39" s="469" customFormat="1" hidden="1" x14ac:dyDescent="0.25">
      <c r="A11" s="162" t="s">
        <v>153</v>
      </c>
      <c r="B11" s="163" t="s">
        <v>154</v>
      </c>
      <c r="C11" s="481"/>
      <c r="D11" s="482"/>
      <c r="E11" s="482"/>
      <c r="F11" s="482"/>
      <c r="G11" s="482"/>
      <c r="H11" s="482"/>
      <c r="I11" s="482"/>
      <c r="J11" s="482"/>
      <c r="K11" s="482"/>
      <c r="L11" s="482"/>
      <c r="M11" s="482"/>
      <c r="N11" s="482"/>
      <c r="O11" s="482"/>
      <c r="P11" s="482"/>
      <c r="Q11" s="482"/>
      <c r="R11" s="482"/>
      <c r="S11" s="482"/>
      <c r="T11" s="482"/>
      <c r="U11" s="482"/>
      <c r="V11" s="482"/>
      <c r="W11" s="482"/>
      <c r="X11" s="482"/>
      <c r="Y11" s="482"/>
      <c r="Z11" s="482"/>
      <c r="AA11" s="482"/>
      <c r="AB11" s="482"/>
      <c r="AC11" s="482"/>
      <c r="AD11" s="482"/>
      <c r="AE11" s="482"/>
      <c r="AF11" s="482"/>
      <c r="AG11" s="482"/>
      <c r="AH11" s="108">
        <f t="shared" si="2"/>
        <v>0</v>
      </c>
      <c r="AI11" s="62"/>
      <c r="AJ11" s="162" t="s">
        <v>153</v>
      </c>
      <c r="AK11" s="163" t="s">
        <v>154</v>
      </c>
      <c r="AM11" s="483"/>
    </row>
    <row r="12" spans="1:39" s="469" customFormat="1" hidden="1" x14ac:dyDescent="0.25">
      <c r="A12" s="162" t="s">
        <v>164</v>
      </c>
      <c r="B12" s="163" t="s">
        <v>165</v>
      </c>
      <c r="C12" s="481"/>
      <c r="D12" s="482"/>
      <c r="E12" s="482"/>
      <c r="F12" s="482"/>
      <c r="G12" s="482"/>
      <c r="H12" s="482"/>
      <c r="I12" s="482"/>
      <c r="J12" s="482"/>
      <c r="K12" s="482"/>
      <c r="L12" s="482"/>
      <c r="M12" s="482"/>
      <c r="N12" s="482"/>
      <c r="O12" s="482"/>
      <c r="P12" s="482"/>
      <c r="Q12" s="482"/>
      <c r="R12" s="482"/>
      <c r="S12" s="482"/>
      <c r="T12" s="482"/>
      <c r="U12" s="482"/>
      <c r="V12" s="482"/>
      <c r="W12" s="482"/>
      <c r="X12" s="482"/>
      <c r="Y12" s="482"/>
      <c r="Z12" s="482"/>
      <c r="AA12" s="482"/>
      <c r="AB12" s="482"/>
      <c r="AC12" s="482"/>
      <c r="AD12" s="482"/>
      <c r="AE12" s="482"/>
      <c r="AF12" s="482"/>
      <c r="AG12" s="482"/>
      <c r="AH12" s="108">
        <f t="shared" si="2"/>
        <v>0</v>
      </c>
      <c r="AI12" s="62"/>
      <c r="AJ12" s="162" t="s">
        <v>164</v>
      </c>
      <c r="AK12" s="163" t="s">
        <v>165</v>
      </c>
      <c r="AM12" s="483"/>
    </row>
    <row r="13" spans="1:39" s="469" customFormat="1" hidden="1" x14ac:dyDescent="0.25">
      <c r="A13" s="162" t="s">
        <v>166</v>
      </c>
      <c r="B13" s="163" t="s">
        <v>167</v>
      </c>
      <c r="C13" s="481"/>
      <c r="D13" s="482"/>
      <c r="E13" s="482"/>
      <c r="F13" s="482"/>
      <c r="G13" s="482"/>
      <c r="H13" s="482"/>
      <c r="I13" s="482"/>
      <c r="J13" s="482"/>
      <c r="K13" s="482"/>
      <c r="L13" s="482"/>
      <c r="M13" s="482"/>
      <c r="N13" s="482"/>
      <c r="O13" s="482"/>
      <c r="P13" s="482"/>
      <c r="Q13" s="482"/>
      <c r="R13" s="482"/>
      <c r="S13" s="482"/>
      <c r="T13" s="482"/>
      <c r="U13" s="482"/>
      <c r="V13" s="482"/>
      <c r="W13" s="482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108">
        <f t="shared" si="2"/>
        <v>0</v>
      </c>
      <c r="AI13" s="62"/>
      <c r="AJ13" s="162" t="s">
        <v>166</v>
      </c>
      <c r="AK13" s="163" t="s">
        <v>167</v>
      </c>
      <c r="AM13" s="483"/>
    </row>
    <row r="14" spans="1:39" s="469" customFormat="1" x14ac:dyDescent="0.25">
      <c r="A14" s="162" t="s">
        <v>34</v>
      </c>
      <c r="B14" s="163" t="s">
        <v>227</v>
      </c>
      <c r="C14" s="481">
        <v>4</v>
      </c>
      <c r="D14" s="482">
        <v>12</v>
      </c>
      <c r="E14" s="482">
        <v>14</v>
      </c>
      <c r="F14" s="482"/>
      <c r="G14" s="482"/>
      <c r="H14" s="482"/>
      <c r="I14" s="482"/>
      <c r="J14" s="482">
        <v>87</v>
      </c>
      <c r="K14" s="482"/>
      <c r="L14" s="482"/>
      <c r="M14" s="482"/>
      <c r="N14" s="482"/>
      <c r="O14" s="482">
        <v>66</v>
      </c>
      <c r="P14" s="482"/>
      <c r="Q14" s="482">
        <v>4</v>
      </c>
      <c r="R14" s="482">
        <v>40</v>
      </c>
      <c r="S14" s="482">
        <v>10</v>
      </c>
      <c r="T14" s="482"/>
      <c r="U14" s="482">
        <v>67</v>
      </c>
      <c r="V14" s="482">
        <v>34</v>
      </c>
      <c r="W14" s="482">
        <v>4</v>
      </c>
      <c r="X14" s="482">
        <v>34</v>
      </c>
      <c r="Y14" s="482"/>
      <c r="Z14" s="482">
        <v>29</v>
      </c>
      <c r="AA14" s="482"/>
      <c r="AB14" s="482"/>
      <c r="AC14" s="482">
        <v>80</v>
      </c>
      <c r="AD14" s="482"/>
      <c r="AE14" s="482">
        <v>29</v>
      </c>
      <c r="AF14" s="482"/>
      <c r="AG14" s="482">
        <v>10</v>
      </c>
      <c r="AH14" s="108">
        <f t="shared" si="1"/>
        <v>524</v>
      </c>
      <c r="AI14" s="62"/>
      <c r="AJ14" s="162" t="s">
        <v>34</v>
      </c>
      <c r="AK14" s="163" t="s">
        <v>35</v>
      </c>
    </row>
    <row r="15" spans="1:39" s="469" customFormat="1" x14ac:dyDescent="0.25">
      <c r="A15" s="162" t="s">
        <v>36</v>
      </c>
      <c r="B15" s="163" t="s">
        <v>37</v>
      </c>
      <c r="C15" s="481">
        <v>87.75</v>
      </c>
      <c r="D15" s="482">
        <v>39.28</v>
      </c>
      <c r="E15" s="482">
        <v>124.94</v>
      </c>
      <c r="F15" s="482">
        <v>308.64</v>
      </c>
      <c r="G15" s="482">
        <v>251.44</v>
      </c>
      <c r="H15" s="482">
        <v>83.16</v>
      </c>
      <c r="I15" s="482"/>
      <c r="J15" s="482">
        <v>95.51</v>
      </c>
      <c r="K15" s="482">
        <v>109.16</v>
      </c>
      <c r="L15" s="482">
        <v>106.73</v>
      </c>
      <c r="M15" s="482">
        <v>168.19</v>
      </c>
      <c r="N15" s="482">
        <v>250.3</v>
      </c>
      <c r="O15" s="482">
        <v>263.16000000000003</v>
      </c>
      <c r="P15" s="482">
        <v>73.569999999999993</v>
      </c>
      <c r="Q15" s="482">
        <v>283.33999999999997</v>
      </c>
      <c r="R15" s="482">
        <v>434.99</v>
      </c>
      <c r="S15" s="482">
        <v>298.39999999999998</v>
      </c>
      <c r="T15" s="482">
        <v>474.39</v>
      </c>
      <c r="U15" s="482">
        <v>381.24</v>
      </c>
      <c r="V15" s="482">
        <v>206.29</v>
      </c>
      <c r="W15" s="482">
        <v>47.98</v>
      </c>
      <c r="X15" s="482">
        <v>164.51</v>
      </c>
      <c r="Y15" s="482">
        <v>182.18</v>
      </c>
      <c r="Z15" s="482">
        <v>203.85</v>
      </c>
      <c r="AA15" s="482">
        <v>444.21</v>
      </c>
      <c r="AB15" s="482">
        <v>401.35</v>
      </c>
      <c r="AC15" s="482">
        <v>181.4</v>
      </c>
      <c r="AD15" s="482">
        <v>40.67</v>
      </c>
      <c r="AE15" s="482">
        <v>207.08</v>
      </c>
      <c r="AF15" s="482">
        <v>52.11</v>
      </c>
      <c r="AG15" s="482">
        <v>243.53</v>
      </c>
      <c r="AH15" s="108">
        <f t="shared" si="1"/>
        <v>6209.3499999999995</v>
      </c>
      <c r="AI15" s="62"/>
      <c r="AJ15" s="162" t="s">
        <v>36</v>
      </c>
      <c r="AK15" s="163" t="s">
        <v>37</v>
      </c>
    </row>
    <row r="16" spans="1:39" s="469" customFormat="1" hidden="1" x14ac:dyDescent="0.25">
      <c r="A16" s="162" t="s">
        <v>194</v>
      </c>
      <c r="B16" s="163" t="s">
        <v>111</v>
      </c>
      <c r="C16" s="481"/>
      <c r="D16" s="482"/>
      <c r="E16" s="482"/>
      <c r="F16" s="482"/>
      <c r="G16" s="482"/>
      <c r="H16" s="482"/>
      <c r="I16" s="482"/>
      <c r="J16" s="482"/>
      <c r="K16" s="482"/>
      <c r="L16" s="482"/>
      <c r="M16" s="482"/>
      <c r="N16" s="482"/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9" customFormat="1" x14ac:dyDescent="0.25">
      <c r="A17" s="162" t="s">
        <v>36</v>
      </c>
      <c r="B17" s="163" t="s">
        <v>225</v>
      </c>
      <c r="C17" s="481">
        <v>8.0500000000000007</v>
      </c>
      <c r="D17" s="482">
        <v>7.82</v>
      </c>
      <c r="E17" s="482">
        <v>8.0500000000000007</v>
      </c>
      <c r="F17" s="482">
        <v>9.89</v>
      </c>
      <c r="G17" s="482">
        <v>2.99</v>
      </c>
      <c r="H17" s="482">
        <v>5.98</v>
      </c>
      <c r="I17" s="482"/>
      <c r="J17" s="482">
        <v>9.1999999999999993</v>
      </c>
      <c r="K17" s="482">
        <v>7.59</v>
      </c>
      <c r="L17" s="482">
        <v>9.1999999999999993</v>
      </c>
      <c r="M17" s="482">
        <v>14.26</v>
      </c>
      <c r="N17" s="482">
        <v>14.26</v>
      </c>
      <c r="O17" s="482">
        <v>17.02</v>
      </c>
      <c r="P17" s="482">
        <v>2.0699999999999998</v>
      </c>
      <c r="Q17" s="482">
        <v>10.119999999999999</v>
      </c>
      <c r="R17" s="482">
        <v>15.87</v>
      </c>
      <c r="S17" s="482">
        <v>8.2799999999999994</v>
      </c>
      <c r="T17" s="482">
        <v>8.74</v>
      </c>
      <c r="U17" s="482">
        <v>13.8</v>
      </c>
      <c r="V17" s="482">
        <v>11.27</v>
      </c>
      <c r="W17" s="482">
        <v>2.5299999999999998</v>
      </c>
      <c r="X17" s="482">
        <v>5.52</v>
      </c>
      <c r="Y17" s="482">
        <v>10.81</v>
      </c>
      <c r="Z17" s="482">
        <v>8.51</v>
      </c>
      <c r="AA17" s="482">
        <v>17.25</v>
      </c>
      <c r="AB17" s="482">
        <v>5.75</v>
      </c>
      <c r="AC17" s="482">
        <v>8.51</v>
      </c>
      <c r="AD17" s="482">
        <v>2.99</v>
      </c>
      <c r="AE17" s="482">
        <v>8.51</v>
      </c>
      <c r="AF17" s="482">
        <v>10.35</v>
      </c>
      <c r="AG17" s="482">
        <v>10.35</v>
      </c>
      <c r="AH17" s="108">
        <f t="shared" si="1"/>
        <v>275.54000000000008</v>
      </c>
      <c r="AI17" s="62"/>
      <c r="AJ17" s="162" t="s">
        <v>36</v>
      </c>
      <c r="AK17" s="163" t="s">
        <v>225</v>
      </c>
    </row>
    <row r="18" spans="1:39" s="469" customFormat="1" x14ac:dyDescent="0.25">
      <c r="A18" s="162" t="s">
        <v>77</v>
      </c>
      <c r="B18" s="163" t="s">
        <v>193</v>
      </c>
      <c r="C18" s="481">
        <v>181.5</v>
      </c>
      <c r="D18" s="482">
        <v>210</v>
      </c>
      <c r="E18" s="482"/>
      <c r="F18" s="482"/>
      <c r="G18" s="482"/>
      <c r="H18" s="482"/>
      <c r="I18" s="482"/>
      <c r="J18" s="482">
        <v>24</v>
      </c>
      <c r="K18" s="482"/>
      <c r="L18" s="482"/>
      <c r="M18" s="482"/>
      <c r="N18" s="482"/>
      <c r="O18" s="482">
        <v>172</v>
      </c>
      <c r="P18" s="482">
        <v>160</v>
      </c>
      <c r="Q18" s="482"/>
      <c r="R18" s="482">
        <v>48</v>
      </c>
      <c r="S18" s="482"/>
      <c r="T18" s="482"/>
      <c r="U18" s="482">
        <v>104</v>
      </c>
      <c r="V18" s="482">
        <v>300</v>
      </c>
      <c r="W18" s="482"/>
      <c r="X18" s="482"/>
      <c r="Y18" s="482"/>
      <c r="Z18" s="482">
        <v>284</v>
      </c>
      <c r="AA18" s="482"/>
      <c r="AB18" s="482"/>
      <c r="AC18" s="482">
        <v>-24</v>
      </c>
      <c r="AD18" s="482"/>
      <c r="AE18" s="482">
        <v>110</v>
      </c>
      <c r="AF18" s="482"/>
      <c r="AG18" s="482">
        <v>88</v>
      </c>
      <c r="AH18" s="108">
        <f t="shared" si="1"/>
        <v>1657.5</v>
      </c>
      <c r="AI18" s="62"/>
      <c r="AJ18" s="162" t="s">
        <v>77</v>
      </c>
      <c r="AK18" s="163" t="s">
        <v>78</v>
      </c>
      <c r="AL18" s="483"/>
    </row>
    <row r="19" spans="1:39" s="469" customFormat="1" hidden="1" x14ac:dyDescent="0.25">
      <c r="A19" s="162" t="s">
        <v>38</v>
      </c>
      <c r="B19" s="163" t="s">
        <v>39</v>
      </c>
      <c r="C19" s="481"/>
      <c r="D19" s="482"/>
      <c r="E19" s="482"/>
      <c r="F19" s="482"/>
      <c r="G19" s="482"/>
      <c r="H19" s="482"/>
      <c r="I19" s="482"/>
      <c r="J19" s="482"/>
      <c r="K19" s="482"/>
      <c r="L19" s="482"/>
      <c r="M19" s="482"/>
      <c r="N19" s="482"/>
      <c r="O19" s="482"/>
      <c r="P19" s="482"/>
      <c r="Q19" s="482"/>
      <c r="R19" s="482"/>
      <c r="S19" s="482"/>
      <c r="T19" s="482"/>
      <c r="U19" s="482"/>
      <c r="V19" s="482"/>
      <c r="W19" s="482"/>
      <c r="X19" s="482"/>
      <c r="Y19" s="482"/>
      <c r="Z19" s="482"/>
      <c r="AA19" s="482"/>
      <c r="AB19" s="482"/>
      <c r="AC19" s="482"/>
      <c r="AD19" s="482"/>
      <c r="AE19" s="482"/>
      <c r="AF19" s="482"/>
      <c r="AG19" s="482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9" customFormat="1" x14ac:dyDescent="0.25">
      <c r="A20" s="162" t="s">
        <v>40</v>
      </c>
      <c r="B20" s="163" t="s">
        <v>228</v>
      </c>
      <c r="C20" s="481"/>
      <c r="D20" s="482"/>
      <c r="E20" s="482"/>
      <c r="F20" s="482">
        <v>90</v>
      </c>
      <c r="G20" s="482"/>
      <c r="H20" s="482"/>
      <c r="I20" s="482"/>
      <c r="J20" s="482"/>
      <c r="K20" s="482"/>
      <c r="L20" s="482"/>
      <c r="M20" s="482"/>
      <c r="N20" s="482"/>
      <c r="O20" s="482"/>
      <c r="P20" s="482"/>
      <c r="Q20" s="482"/>
      <c r="R20" s="482"/>
      <c r="S20" s="482"/>
      <c r="T20" s="482"/>
      <c r="U20" s="482"/>
      <c r="V20" s="482"/>
      <c r="W20" s="482"/>
      <c r="X20" s="482">
        <v>90</v>
      </c>
      <c r="Y20" s="482"/>
      <c r="Z20" s="482"/>
      <c r="AA20" s="482">
        <v>90</v>
      </c>
      <c r="AB20" s="482"/>
      <c r="AC20" s="482"/>
      <c r="AD20" s="482"/>
      <c r="AE20" s="482"/>
      <c r="AF20" s="482"/>
      <c r="AG20" s="482"/>
      <c r="AH20" s="108">
        <f>SUM(C20:AG20)</f>
        <v>270</v>
      </c>
      <c r="AI20" s="62"/>
      <c r="AJ20" s="162" t="s">
        <v>40</v>
      </c>
      <c r="AK20" s="163" t="s">
        <v>41</v>
      </c>
    </row>
    <row r="21" spans="1:39" s="469" customFormat="1" x14ac:dyDescent="0.25">
      <c r="A21" s="162" t="s">
        <v>161</v>
      </c>
      <c r="B21" s="163" t="s">
        <v>162</v>
      </c>
      <c r="C21" s="481"/>
      <c r="D21" s="482"/>
      <c r="E21" s="482"/>
      <c r="F21" s="482"/>
      <c r="G21" s="482"/>
      <c r="H21" s="482"/>
      <c r="I21" s="482"/>
      <c r="J21" s="482"/>
      <c r="K21" s="482"/>
      <c r="L21" s="482"/>
      <c r="M21" s="482"/>
      <c r="N21" s="482"/>
      <c r="O21" s="482"/>
      <c r="P21" s="482"/>
      <c r="Q21" s="482">
        <v>90</v>
      </c>
      <c r="R21" s="482"/>
      <c r="S21" s="482"/>
      <c r="T21" s="482"/>
      <c r="U21" s="482"/>
      <c r="V21" s="482"/>
      <c r="W21" s="482"/>
      <c r="X21" s="482"/>
      <c r="Y21" s="482"/>
      <c r="Z21" s="482"/>
      <c r="AA21" s="482"/>
      <c r="AB21" s="482"/>
      <c r="AC21" s="482"/>
      <c r="AD21" s="482"/>
      <c r="AE21" s="482">
        <v>90</v>
      </c>
      <c r="AF21" s="482"/>
      <c r="AG21" s="482"/>
      <c r="AH21" s="108">
        <f t="shared" si="1"/>
        <v>180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>
        <v>44</v>
      </c>
      <c r="W28" s="80"/>
      <c r="X28" s="80"/>
      <c r="Y28" s="80"/>
      <c r="Z28" s="80"/>
      <c r="AA28" s="80"/>
      <c r="AB28" s="80"/>
      <c r="AC28" s="80"/>
      <c r="AD28" s="80"/>
      <c r="AE28" s="80"/>
      <c r="AF28" s="80">
        <v>26</v>
      </c>
      <c r="AG28" s="80">
        <v>52</v>
      </c>
      <c r="AH28" s="108">
        <f t="shared" si="1"/>
        <v>122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1665.34</v>
      </c>
      <c r="D29" s="107">
        <f t="shared" si="3"/>
        <v>1542.9899999999998</v>
      </c>
      <c r="E29" s="107">
        <f t="shared" si="3"/>
        <v>2371.3700000000003</v>
      </c>
      <c r="F29" s="107">
        <f t="shared" si="3"/>
        <v>7209.5100000000011</v>
      </c>
      <c r="G29" s="107">
        <f t="shared" si="3"/>
        <v>3900.9</v>
      </c>
      <c r="H29" s="107">
        <f t="shared" si="3"/>
        <v>1222.5600000000002</v>
      </c>
      <c r="I29" s="107">
        <f t="shared" si="3"/>
        <v>0</v>
      </c>
      <c r="J29" s="107">
        <f t="shared" si="3"/>
        <v>1241.81</v>
      </c>
      <c r="K29" s="107">
        <f t="shared" si="3"/>
        <v>2200.6</v>
      </c>
      <c r="L29" s="107">
        <f t="shared" si="3"/>
        <v>1005.9100000000001</v>
      </c>
      <c r="M29" s="107">
        <f t="shared" si="3"/>
        <v>4077.6800000000003</v>
      </c>
      <c r="N29" s="107">
        <f t="shared" si="3"/>
        <v>5877.93</v>
      </c>
      <c r="O29" s="107">
        <f t="shared" si="3"/>
        <v>5188.2299999999996</v>
      </c>
      <c r="P29" s="107">
        <f t="shared" si="3"/>
        <v>1115.8000000000002</v>
      </c>
      <c r="Q29" s="107">
        <f t="shared" si="3"/>
        <v>5167.21</v>
      </c>
      <c r="R29" s="107">
        <f t="shared" si="3"/>
        <v>5175.1799999999994</v>
      </c>
      <c r="S29" s="107">
        <f t="shared" si="3"/>
        <v>6290.0599999999995</v>
      </c>
      <c r="T29" s="107">
        <f t="shared" si="3"/>
        <v>11148.39</v>
      </c>
      <c r="U29" s="107">
        <f t="shared" si="3"/>
        <v>9998.2199999999993</v>
      </c>
      <c r="V29" s="107">
        <f t="shared" si="3"/>
        <v>5832.54</v>
      </c>
      <c r="W29" s="107">
        <f t="shared" si="3"/>
        <v>453.28</v>
      </c>
      <c r="X29" s="107">
        <f t="shared" si="3"/>
        <v>2193.11</v>
      </c>
      <c r="Y29" s="107">
        <f t="shared" si="3"/>
        <v>3646.22</v>
      </c>
      <c r="Z29" s="107">
        <f t="shared" si="3"/>
        <v>4236.84</v>
      </c>
      <c r="AA29" s="107">
        <f t="shared" si="3"/>
        <v>8195.0499999999993</v>
      </c>
      <c r="AB29" s="107">
        <f t="shared" si="3"/>
        <v>6792.5100000000011</v>
      </c>
      <c r="AC29" s="107">
        <f t="shared" si="3"/>
        <v>3202.3900000000003</v>
      </c>
      <c r="AD29" s="107">
        <f t="shared" si="3"/>
        <v>541.79</v>
      </c>
      <c r="AE29" s="107">
        <f t="shared" si="3"/>
        <v>3808.6</v>
      </c>
      <c r="AF29" s="107">
        <f t="shared" si="3"/>
        <v>899.38</v>
      </c>
      <c r="AG29" s="107">
        <f t="shared" si="3"/>
        <v>4389.5300000000007</v>
      </c>
      <c r="AH29" s="109">
        <f>SUM(C3:AG28)</f>
        <v>120590.93000000004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1665.34</v>
      </c>
      <c r="D30" s="72">
        <v>1542.99</v>
      </c>
      <c r="E30" s="72">
        <v>2371.37</v>
      </c>
      <c r="F30" s="72">
        <v>7209.51</v>
      </c>
      <c r="G30" s="72">
        <v>3900.9</v>
      </c>
      <c r="H30" s="72">
        <v>1222.56</v>
      </c>
      <c r="I30" s="72"/>
      <c r="J30" s="72">
        <v>1241.81</v>
      </c>
      <c r="K30" s="72">
        <v>2200.6</v>
      </c>
      <c r="L30" s="72">
        <v>1005.91</v>
      </c>
      <c r="M30" s="72">
        <v>4077.68</v>
      </c>
      <c r="N30" s="72">
        <v>5877.93</v>
      </c>
      <c r="O30" s="72">
        <v>5188.2299999999996</v>
      </c>
      <c r="P30" s="72">
        <v>1115.8</v>
      </c>
      <c r="Q30" s="72">
        <v>5167.21</v>
      </c>
      <c r="R30" s="72">
        <v>5175.18</v>
      </c>
      <c r="S30" s="72">
        <v>6290.06</v>
      </c>
      <c r="T30" s="72">
        <v>11148.39</v>
      </c>
      <c r="U30" s="72">
        <v>9998.2199999999993</v>
      </c>
      <c r="V30" s="72">
        <v>5832.54</v>
      </c>
      <c r="W30" s="72">
        <v>453.28</v>
      </c>
      <c r="X30" s="72">
        <v>2193.11</v>
      </c>
      <c r="Y30" s="72">
        <v>3646.22</v>
      </c>
      <c r="Z30" s="72">
        <v>4236.84</v>
      </c>
      <c r="AA30" s="72">
        <v>8195.0499999999993</v>
      </c>
      <c r="AB30" s="72">
        <v>6792.51</v>
      </c>
      <c r="AC30" s="72">
        <v>3202.39</v>
      </c>
      <c r="AD30" s="72">
        <v>541.79</v>
      </c>
      <c r="AE30" s="72">
        <v>3808.6</v>
      </c>
      <c r="AF30" s="72">
        <v>899.38</v>
      </c>
      <c r="AG30" s="72">
        <v>4389.53</v>
      </c>
      <c r="AH30" s="191">
        <f>SUM(C30:AG30)</f>
        <v>120590.93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03" t="s">
        <v>127</v>
      </c>
      <c r="AK31" s="504"/>
      <c r="AL31" s="504"/>
      <c r="AM31" s="505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122.02</v>
      </c>
      <c r="D33" s="392">
        <v>76.709999999999994</v>
      </c>
      <c r="E33" s="392">
        <v>118.91</v>
      </c>
      <c r="F33" s="392">
        <v>845.74</v>
      </c>
      <c r="G33" s="392">
        <v>748.33</v>
      </c>
      <c r="H33" s="392">
        <v>192.02</v>
      </c>
      <c r="I33" s="392"/>
      <c r="J33" s="392">
        <v>279.02</v>
      </c>
      <c r="K33" s="392">
        <v>428.69</v>
      </c>
      <c r="L33" s="392">
        <v>196.77</v>
      </c>
      <c r="M33" s="392">
        <v>502.04</v>
      </c>
      <c r="N33" s="392">
        <v>419.09</v>
      </c>
      <c r="O33" s="392">
        <v>857.8</v>
      </c>
      <c r="P33" s="392">
        <v>163.27000000000001</v>
      </c>
      <c r="Q33" s="392">
        <v>798.37</v>
      </c>
      <c r="R33" s="392">
        <v>686.62</v>
      </c>
      <c r="S33" s="392">
        <v>765.23</v>
      </c>
      <c r="T33" s="392">
        <v>1607.45</v>
      </c>
      <c r="U33" s="392">
        <v>1542.64</v>
      </c>
      <c r="V33" s="392">
        <v>595.01</v>
      </c>
      <c r="W33" s="392">
        <v>121</v>
      </c>
      <c r="X33" s="392">
        <v>458.8</v>
      </c>
      <c r="Y33" s="392">
        <v>343.41</v>
      </c>
      <c r="Z33" s="392">
        <v>355.44</v>
      </c>
      <c r="AA33" s="392">
        <v>923.63</v>
      </c>
      <c r="AB33" s="392">
        <v>1530.58</v>
      </c>
      <c r="AC33" s="392">
        <v>357.5</v>
      </c>
      <c r="AD33" s="392">
        <v>66.760000000000005</v>
      </c>
      <c r="AE33" s="392">
        <v>487.97</v>
      </c>
      <c r="AF33" s="392">
        <v>208.76</v>
      </c>
      <c r="AG33" s="393">
        <v>669.39</v>
      </c>
      <c r="AH33" s="110">
        <f>SUM(C33:AG33)</f>
        <v>16468.97</v>
      </c>
      <c r="AJ33" s="137" t="s">
        <v>60</v>
      </c>
      <c r="AK33" s="138" t="s">
        <v>122</v>
      </c>
      <c r="AL33" s="386">
        <f>SUM(C33:AF33)</f>
        <v>15799.58</v>
      </c>
      <c r="AM33" s="387">
        <f>SUM(AG33)</f>
        <v>669.39</v>
      </c>
    </row>
    <row r="34" spans="1:40" x14ac:dyDescent="0.25">
      <c r="A34" s="90" t="s">
        <v>60</v>
      </c>
      <c r="B34" s="91" t="s">
        <v>55</v>
      </c>
      <c r="C34" s="485">
        <v>1543.32</v>
      </c>
      <c r="D34" s="485">
        <v>1466.28</v>
      </c>
      <c r="E34" s="485">
        <v>2253.35</v>
      </c>
      <c r="F34" s="485">
        <v>6312.17</v>
      </c>
      <c r="G34" s="485">
        <v>3180.86</v>
      </c>
      <c r="H34" s="485">
        <v>1030.54</v>
      </c>
      <c r="I34" s="389"/>
      <c r="J34" s="485">
        <v>984.53</v>
      </c>
      <c r="K34" s="485">
        <v>1771.91</v>
      </c>
      <c r="L34" s="485">
        <v>626.13</v>
      </c>
      <c r="M34" s="485">
        <v>3575.64</v>
      </c>
      <c r="N34" s="485">
        <v>5461.11</v>
      </c>
      <c r="O34" s="485">
        <v>4330.43</v>
      </c>
      <c r="P34" s="485">
        <v>952.53</v>
      </c>
      <c r="Q34" s="485">
        <v>4368.95</v>
      </c>
      <c r="R34" s="485">
        <v>4488.5600000000004</v>
      </c>
      <c r="S34" s="485">
        <v>5533.63</v>
      </c>
      <c r="T34" s="485">
        <v>9525.19</v>
      </c>
      <c r="U34" s="485">
        <v>8396.39</v>
      </c>
      <c r="V34" s="485">
        <v>5270.98</v>
      </c>
      <c r="W34" s="485">
        <v>332.28</v>
      </c>
      <c r="X34" s="485">
        <v>1734.31</v>
      </c>
      <c r="Y34" s="485">
        <v>3303.24</v>
      </c>
      <c r="Z34" s="488">
        <v>3883.38</v>
      </c>
      <c r="AA34" s="485">
        <v>7249.52</v>
      </c>
      <c r="AB34" s="485">
        <v>5265.95</v>
      </c>
      <c r="AC34" s="488">
        <v>2844.89</v>
      </c>
      <c r="AD34" s="488">
        <v>475.03</v>
      </c>
      <c r="AE34" s="488">
        <v>3320.63</v>
      </c>
      <c r="AF34" s="488">
        <v>690.62</v>
      </c>
      <c r="AG34" s="488">
        <v>3722.61</v>
      </c>
      <c r="AH34" s="111">
        <f t="shared" ref="AH34:AH38" si="5">SUM(C34:AG34)</f>
        <v>103894.95999999999</v>
      </c>
      <c r="AJ34" s="129" t="s">
        <v>60</v>
      </c>
      <c r="AK34" s="130" t="s">
        <v>198</v>
      </c>
      <c r="AL34" s="290">
        <f>SUM(C34:Y34,AA34:AB34)-AL45</f>
        <v>86269.349999999991</v>
      </c>
      <c r="AM34" s="291">
        <f>SUM(AC34:AG34,Z34)-AM45</f>
        <v>14486.94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123</v>
      </c>
      <c r="AL35" s="290">
        <f>SUM(C35:AD35)</f>
        <v>0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>
        <v>182</v>
      </c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182</v>
      </c>
      <c r="AJ37" s="129" t="s">
        <v>67</v>
      </c>
      <c r="AK37" s="130" t="s">
        <v>91</v>
      </c>
      <c r="AL37" s="269">
        <f>AH37</f>
        <v>182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>
        <v>18</v>
      </c>
      <c r="V38" s="382">
        <v>28</v>
      </c>
      <c r="W38" s="382"/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46</v>
      </c>
      <c r="AJ38" s="129" t="s">
        <v>109</v>
      </c>
      <c r="AK38" s="130" t="s">
        <v>156</v>
      </c>
      <c r="AL38" s="269">
        <f>AH38</f>
        <v>46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1665.34</v>
      </c>
      <c r="D39" s="107">
        <f t="shared" si="6"/>
        <v>1542.99</v>
      </c>
      <c r="E39" s="107">
        <f t="shared" si="6"/>
        <v>2372.2599999999998</v>
      </c>
      <c r="F39" s="107">
        <f t="shared" si="6"/>
        <v>7157.91</v>
      </c>
      <c r="G39" s="107">
        <f t="shared" si="6"/>
        <v>3929.19</v>
      </c>
      <c r="H39" s="107">
        <f t="shared" si="6"/>
        <v>1222.56</v>
      </c>
      <c r="I39" s="107">
        <f t="shared" si="6"/>
        <v>0</v>
      </c>
      <c r="J39" s="107">
        <f t="shared" si="6"/>
        <v>1263.55</v>
      </c>
      <c r="K39" s="107">
        <f t="shared" si="6"/>
        <v>2200.6</v>
      </c>
      <c r="L39" s="107">
        <f t="shared" si="6"/>
        <v>1004.9</v>
      </c>
      <c r="M39" s="107">
        <f t="shared" si="6"/>
        <v>4077.68</v>
      </c>
      <c r="N39" s="107">
        <f t="shared" si="6"/>
        <v>5880.2</v>
      </c>
      <c r="O39" s="107">
        <f t="shared" si="6"/>
        <v>5188.2300000000005</v>
      </c>
      <c r="P39" s="107">
        <f t="shared" si="6"/>
        <v>1115.8</v>
      </c>
      <c r="Q39" s="107">
        <f t="shared" si="6"/>
        <v>5167.32</v>
      </c>
      <c r="R39" s="107">
        <f t="shared" si="6"/>
        <v>5175.18</v>
      </c>
      <c r="S39" s="107">
        <f t="shared" si="6"/>
        <v>6298.8600000000006</v>
      </c>
      <c r="T39" s="107">
        <f t="shared" si="6"/>
        <v>11132.640000000001</v>
      </c>
      <c r="U39" s="107">
        <f t="shared" si="6"/>
        <v>9957.0299999999988</v>
      </c>
      <c r="V39" s="107">
        <f t="shared" si="6"/>
        <v>5893.99</v>
      </c>
      <c r="W39" s="107">
        <f t="shared" si="6"/>
        <v>453.28</v>
      </c>
      <c r="X39" s="107">
        <f t="shared" si="6"/>
        <v>2193.11</v>
      </c>
      <c r="Y39" s="107">
        <f t="shared" si="6"/>
        <v>3646.6499999999996</v>
      </c>
      <c r="Z39" s="107">
        <f t="shared" si="6"/>
        <v>4238.82</v>
      </c>
      <c r="AA39" s="107">
        <f t="shared" si="6"/>
        <v>8173.1500000000005</v>
      </c>
      <c r="AB39" s="107">
        <f t="shared" si="6"/>
        <v>6796.53</v>
      </c>
      <c r="AC39" s="107">
        <f t="shared" si="6"/>
        <v>3202.39</v>
      </c>
      <c r="AD39" s="107">
        <f t="shared" si="6"/>
        <v>541.79</v>
      </c>
      <c r="AE39" s="107">
        <f t="shared" si="6"/>
        <v>3808.6000000000004</v>
      </c>
      <c r="AF39" s="107">
        <f t="shared" si="6"/>
        <v>899.38</v>
      </c>
      <c r="AG39" s="107">
        <f t="shared" si="6"/>
        <v>4392</v>
      </c>
      <c r="AH39" s="110">
        <f>SUM(C39:AG39)</f>
        <v>120591.93</v>
      </c>
      <c r="AI39" s="59"/>
      <c r="AJ39" s="499" t="s">
        <v>76</v>
      </c>
      <c r="AK39" s="500"/>
      <c r="AL39" s="501">
        <f>SUM(AL33:AM38)</f>
        <v>117453.26</v>
      </c>
      <c r="AM39" s="502"/>
      <c r="AN39" s="273">
        <f>AL39-AH39+AL45+AM45+AL43</f>
        <v>-0.99999999999647571</v>
      </c>
    </row>
    <row r="40" spans="1:40" x14ac:dyDescent="0.25">
      <c r="A40" s="203"/>
      <c r="B40" s="194" t="s">
        <v>104</v>
      </c>
      <c r="C40" s="72">
        <f>C30</f>
        <v>1665.34</v>
      </c>
      <c r="D40" s="72">
        <f t="shared" ref="D40:AG40" si="7">D30</f>
        <v>1542.99</v>
      </c>
      <c r="E40" s="72">
        <f t="shared" si="7"/>
        <v>2371.37</v>
      </c>
      <c r="F40" s="72">
        <f t="shared" si="7"/>
        <v>7209.51</v>
      </c>
      <c r="G40" s="72">
        <f t="shared" si="7"/>
        <v>3900.9</v>
      </c>
      <c r="H40" s="72">
        <f t="shared" si="7"/>
        <v>1222.56</v>
      </c>
      <c r="I40" s="72">
        <f t="shared" si="7"/>
        <v>0</v>
      </c>
      <c r="J40" s="72">
        <f t="shared" si="7"/>
        <v>1241.81</v>
      </c>
      <c r="K40" s="72">
        <f t="shared" si="7"/>
        <v>2200.6</v>
      </c>
      <c r="L40" s="72">
        <f t="shared" si="7"/>
        <v>1005.91</v>
      </c>
      <c r="M40" s="72">
        <f t="shared" si="7"/>
        <v>4077.68</v>
      </c>
      <c r="N40" s="72">
        <f t="shared" si="7"/>
        <v>5877.93</v>
      </c>
      <c r="O40" s="72">
        <f t="shared" si="7"/>
        <v>5188.2299999999996</v>
      </c>
      <c r="P40" s="72">
        <f t="shared" si="7"/>
        <v>1115.8</v>
      </c>
      <c r="Q40" s="72">
        <f t="shared" si="7"/>
        <v>5167.21</v>
      </c>
      <c r="R40" s="72">
        <f t="shared" si="7"/>
        <v>5175.18</v>
      </c>
      <c r="S40" s="72">
        <f t="shared" si="7"/>
        <v>6290.06</v>
      </c>
      <c r="T40" s="72">
        <f t="shared" si="7"/>
        <v>11148.39</v>
      </c>
      <c r="U40" s="72">
        <f t="shared" si="7"/>
        <v>9998.2199999999993</v>
      </c>
      <c r="V40" s="72">
        <f t="shared" si="7"/>
        <v>5832.54</v>
      </c>
      <c r="W40" s="72">
        <f t="shared" si="7"/>
        <v>453.28</v>
      </c>
      <c r="X40" s="72">
        <f t="shared" si="7"/>
        <v>2193.11</v>
      </c>
      <c r="Y40" s="72">
        <f t="shared" si="7"/>
        <v>3646.22</v>
      </c>
      <c r="Z40" s="72">
        <f t="shared" si="7"/>
        <v>4236.84</v>
      </c>
      <c r="AA40" s="72">
        <f t="shared" si="7"/>
        <v>8195.0499999999993</v>
      </c>
      <c r="AB40" s="72">
        <f t="shared" si="7"/>
        <v>6792.51</v>
      </c>
      <c r="AC40" s="72">
        <f t="shared" si="7"/>
        <v>3202.39</v>
      </c>
      <c r="AD40" s="72">
        <f t="shared" si="7"/>
        <v>541.79</v>
      </c>
      <c r="AE40" s="72">
        <f t="shared" si="7"/>
        <v>3808.6</v>
      </c>
      <c r="AF40" s="72">
        <f t="shared" si="7"/>
        <v>899.38</v>
      </c>
      <c r="AG40" s="72">
        <f t="shared" si="7"/>
        <v>4389.53</v>
      </c>
      <c r="AH40" s="111">
        <f t="shared" ref="AH40:AH41" si="8">SUM(C40:AG40)</f>
        <v>120590.93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</v>
      </c>
      <c r="D41" s="133">
        <f>D39-D40</f>
        <v>0</v>
      </c>
      <c r="E41" s="133">
        <f>E39-E40</f>
        <v>0.88999999999987267</v>
      </c>
      <c r="F41" s="133">
        <f t="shared" ref="F41:AG41" si="9">F39-F40</f>
        <v>-51.600000000000364</v>
      </c>
      <c r="G41" s="133">
        <f t="shared" si="9"/>
        <v>28.289999999999964</v>
      </c>
      <c r="H41" s="133">
        <f t="shared" si="9"/>
        <v>0</v>
      </c>
      <c r="I41" s="133">
        <f t="shared" si="9"/>
        <v>0</v>
      </c>
      <c r="J41" s="133">
        <f t="shared" si="9"/>
        <v>21.740000000000009</v>
      </c>
      <c r="K41" s="133">
        <f t="shared" si="9"/>
        <v>0</v>
      </c>
      <c r="L41" s="133">
        <f t="shared" si="9"/>
        <v>-1.0099999999999909</v>
      </c>
      <c r="M41" s="133">
        <f t="shared" si="9"/>
        <v>0</v>
      </c>
      <c r="N41" s="133">
        <f t="shared" si="9"/>
        <v>2.2699999999995271</v>
      </c>
      <c r="O41" s="133">
        <f t="shared" si="9"/>
        <v>0</v>
      </c>
      <c r="P41" s="133">
        <f t="shared" si="9"/>
        <v>0</v>
      </c>
      <c r="Q41" s="133">
        <f t="shared" si="9"/>
        <v>0.10999999999967258</v>
      </c>
      <c r="R41" s="133">
        <f t="shared" si="9"/>
        <v>0</v>
      </c>
      <c r="S41" s="133">
        <f t="shared" si="9"/>
        <v>8.8000000000001819</v>
      </c>
      <c r="T41" s="133">
        <f t="shared" si="9"/>
        <v>-15.749999999998181</v>
      </c>
      <c r="U41" s="133">
        <f t="shared" si="9"/>
        <v>-41.190000000000509</v>
      </c>
      <c r="V41" s="133">
        <f t="shared" si="9"/>
        <v>61.449999999999818</v>
      </c>
      <c r="W41" s="133">
        <f t="shared" si="9"/>
        <v>0</v>
      </c>
      <c r="X41" s="133">
        <f t="shared" si="9"/>
        <v>0</v>
      </c>
      <c r="Y41" s="133">
        <f t="shared" si="9"/>
        <v>0.42999999999983629</v>
      </c>
      <c r="Z41" s="133">
        <f t="shared" si="9"/>
        <v>1.9799999999995634</v>
      </c>
      <c r="AA41" s="133">
        <f t="shared" si="9"/>
        <v>-21.899999999998727</v>
      </c>
      <c r="AB41" s="133">
        <f t="shared" si="9"/>
        <v>4.0199999999995271</v>
      </c>
      <c r="AC41" s="133">
        <f t="shared" si="9"/>
        <v>0</v>
      </c>
      <c r="AD41" s="133">
        <f t="shared" si="9"/>
        <v>0</v>
      </c>
      <c r="AE41" s="133">
        <f t="shared" si="9"/>
        <v>0</v>
      </c>
      <c r="AF41" s="133">
        <f t="shared" si="9"/>
        <v>0</v>
      </c>
      <c r="AG41" s="133">
        <f t="shared" si="9"/>
        <v>2.4700000000002547</v>
      </c>
      <c r="AH41" s="112">
        <f t="shared" si="8"/>
        <v>1.0000000000004547</v>
      </c>
      <c r="AJ41" s="377">
        <f>AH39-AH40</f>
        <v>1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0</v>
      </c>
      <c r="E43" s="114">
        <f t="shared" si="10"/>
        <v>-0.88999999999941792</v>
      </c>
      <c r="F43" s="114">
        <f t="shared" si="10"/>
        <v>51.600000000001273</v>
      </c>
      <c r="G43" s="114">
        <f t="shared" si="10"/>
        <v>-28.289999999999964</v>
      </c>
      <c r="H43" s="114">
        <f t="shared" si="10"/>
        <v>0</v>
      </c>
      <c r="I43" s="114">
        <f t="shared" si="10"/>
        <v>0</v>
      </c>
      <c r="J43" s="114">
        <f t="shared" si="10"/>
        <v>-21.740000000000009</v>
      </c>
      <c r="K43" s="114">
        <f t="shared" si="10"/>
        <v>0</v>
      </c>
      <c r="L43" s="114">
        <f t="shared" si="10"/>
        <v>1.0100000000001046</v>
      </c>
      <c r="M43" s="114">
        <f t="shared" si="10"/>
        <v>0</v>
      </c>
      <c r="N43" s="114">
        <f t="shared" si="10"/>
        <v>-2.2699999999995271</v>
      </c>
      <c r="O43" s="114">
        <f t="shared" si="10"/>
        <v>0</v>
      </c>
      <c r="P43" s="114">
        <f t="shared" si="10"/>
        <v>0</v>
      </c>
      <c r="Q43" s="114">
        <f t="shared" si="10"/>
        <v>-0.10999999999967258</v>
      </c>
      <c r="R43" s="114">
        <f t="shared" si="10"/>
        <v>0</v>
      </c>
      <c r="S43" s="114">
        <f t="shared" si="10"/>
        <v>-8.8000000000010914</v>
      </c>
      <c r="T43" s="114">
        <f t="shared" si="10"/>
        <v>15.749999999998181</v>
      </c>
      <c r="U43" s="114">
        <f t="shared" si="10"/>
        <v>41.190000000000509</v>
      </c>
      <c r="V43" s="114">
        <f t="shared" si="10"/>
        <v>-61.449999999999818</v>
      </c>
      <c r="W43" s="114">
        <f t="shared" si="10"/>
        <v>0</v>
      </c>
      <c r="X43" s="114">
        <f t="shared" si="10"/>
        <v>0</v>
      </c>
      <c r="Y43" s="114">
        <f t="shared" si="10"/>
        <v>-0.42999999999983629</v>
      </c>
      <c r="Z43" s="114">
        <f t="shared" si="10"/>
        <v>-1.9799999999995634</v>
      </c>
      <c r="AA43" s="114">
        <f t="shared" si="10"/>
        <v>21.899999999998727</v>
      </c>
      <c r="AB43" s="114">
        <f t="shared" si="10"/>
        <v>-4.0199999999986176</v>
      </c>
      <c r="AC43" s="114">
        <f t="shared" si="10"/>
        <v>0</v>
      </c>
      <c r="AD43" s="114">
        <f t="shared" si="10"/>
        <v>0</v>
      </c>
      <c r="AE43" s="114">
        <f t="shared" si="10"/>
        <v>0</v>
      </c>
      <c r="AF43" s="114">
        <f t="shared" si="10"/>
        <v>0</v>
      </c>
      <c r="AG43" s="114">
        <f t="shared" si="10"/>
        <v>-2.4699999999993452</v>
      </c>
      <c r="AH43" s="115">
        <f>SUM(C43:AG43)</f>
        <v>-0.99999999999806732</v>
      </c>
      <c r="AI43" s="62"/>
      <c r="AJ43" s="211" t="s">
        <v>32</v>
      </c>
      <c r="AK43" s="212" t="s">
        <v>90</v>
      </c>
      <c r="AL43" s="271">
        <f>AH43</f>
        <v>-0.99999999999806732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120590.93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6">
        <v>49.01</v>
      </c>
      <c r="D45" s="486">
        <v>44.01</v>
      </c>
      <c r="E45" s="486">
        <v>67.59</v>
      </c>
      <c r="F45" s="486">
        <v>189.38</v>
      </c>
      <c r="G45" s="486">
        <v>95.44</v>
      </c>
      <c r="H45" s="486">
        <v>30.93</v>
      </c>
      <c r="I45" s="212"/>
      <c r="J45" s="486">
        <v>29.54</v>
      </c>
      <c r="K45" s="486">
        <v>53.95</v>
      </c>
      <c r="L45" s="486">
        <v>18.8</v>
      </c>
      <c r="M45" s="487">
        <v>107.3</v>
      </c>
      <c r="N45" s="486">
        <v>163.85</v>
      </c>
      <c r="O45" s="486">
        <v>135.38</v>
      </c>
      <c r="P45" s="486">
        <v>28.58</v>
      </c>
      <c r="Q45" s="486">
        <v>131.03</v>
      </c>
      <c r="R45" s="486">
        <v>134.62</v>
      </c>
      <c r="S45" s="486">
        <v>166.41</v>
      </c>
      <c r="T45" s="486">
        <v>285.77999999999997</v>
      </c>
      <c r="U45" s="486">
        <v>255.86</v>
      </c>
      <c r="V45" s="486">
        <v>158.13999999999999</v>
      </c>
      <c r="W45" s="487">
        <v>12.5</v>
      </c>
      <c r="X45" s="486">
        <v>53.87</v>
      </c>
      <c r="Y45" s="487">
        <v>101</v>
      </c>
      <c r="Z45" s="491">
        <v>117.33</v>
      </c>
      <c r="AA45" s="487">
        <v>217.5</v>
      </c>
      <c r="AB45" s="486">
        <v>157.97999999999999</v>
      </c>
      <c r="AC45" s="491">
        <v>86.09</v>
      </c>
      <c r="AD45" s="491">
        <v>14.26</v>
      </c>
      <c r="AE45" s="491">
        <v>100.12</v>
      </c>
      <c r="AF45" s="491">
        <v>20.71</v>
      </c>
      <c r="AG45" s="492">
        <v>111.71</v>
      </c>
      <c r="AH45" s="115">
        <f t="shared" ref="AH45" si="11">SUM(C45:AG45)</f>
        <v>3138.67</v>
      </c>
      <c r="AI45" s="62"/>
      <c r="AJ45" s="211" t="s">
        <v>196</v>
      </c>
      <c r="AK45" s="212" t="s">
        <v>197</v>
      </c>
      <c r="AL45" s="271">
        <f>SUM(C45:Y45,AA45:AB45)</f>
        <v>2688.45</v>
      </c>
      <c r="AM45" s="272">
        <f>SUM(AC45:AG45,Z45)</f>
        <v>450.22</v>
      </c>
      <c r="AN45" s="274"/>
    </row>
    <row r="46" spans="1:40" s="102" customFormat="1" ht="16.5" thickBot="1" x14ac:dyDescent="0.3">
      <c r="A46" s="224"/>
      <c r="B46" s="225" t="s">
        <v>232</v>
      </c>
      <c r="C46" s="484">
        <f>C34-C45</f>
        <v>1494.31</v>
      </c>
      <c r="D46" s="484">
        <f t="shared" ref="D46:AG46" si="12">D34-D45</f>
        <v>1422.27</v>
      </c>
      <c r="E46" s="484">
        <f t="shared" si="12"/>
        <v>2185.7599999999998</v>
      </c>
      <c r="F46" s="484">
        <f t="shared" si="12"/>
        <v>6122.79</v>
      </c>
      <c r="G46" s="484">
        <f t="shared" si="12"/>
        <v>3085.42</v>
      </c>
      <c r="H46" s="484">
        <f t="shared" si="12"/>
        <v>999.61</v>
      </c>
      <c r="I46" s="484">
        <f t="shared" si="12"/>
        <v>0</v>
      </c>
      <c r="J46" s="484">
        <f t="shared" si="12"/>
        <v>954.99</v>
      </c>
      <c r="K46" s="484">
        <f t="shared" si="12"/>
        <v>1717.96</v>
      </c>
      <c r="L46" s="484">
        <f t="shared" si="12"/>
        <v>607.33000000000004</v>
      </c>
      <c r="M46" s="484">
        <f t="shared" si="12"/>
        <v>3468.3399999999997</v>
      </c>
      <c r="N46" s="484">
        <f t="shared" si="12"/>
        <v>5297.2599999999993</v>
      </c>
      <c r="O46" s="484">
        <f t="shared" si="12"/>
        <v>4195.05</v>
      </c>
      <c r="P46" s="484">
        <f t="shared" si="12"/>
        <v>923.94999999999993</v>
      </c>
      <c r="Q46" s="484">
        <f t="shared" si="12"/>
        <v>4237.92</v>
      </c>
      <c r="R46" s="484">
        <f t="shared" si="12"/>
        <v>4353.9400000000005</v>
      </c>
      <c r="S46" s="484">
        <f t="shared" si="12"/>
        <v>5367.22</v>
      </c>
      <c r="T46" s="484">
        <f t="shared" si="12"/>
        <v>9239.41</v>
      </c>
      <c r="U46" s="484">
        <f t="shared" si="12"/>
        <v>8140.53</v>
      </c>
      <c r="V46" s="484">
        <f t="shared" si="12"/>
        <v>5112.8399999999992</v>
      </c>
      <c r="W46" s="484">
        <f t="shared" si="12"/>
        <v>319.77999999999997</v>
      </c>
      <c r="X46" s="484">
        <f t="shared" si="12"/>
        <v>1680.44</v>
      </c>
      <c r="Y46" s="484">
        <f t="shared" si="12"/>
        <v>3202.24</v>
      </c>
      <c r="Z46" s="484">
        <f t="shared" si="12"/>
        <v>3766.05</v>
      </c>
      <c r="AA46" s="484">
        <f t="shared" si="12"/>
        <v>7032.02</v>
      </c>
      <c r="AB46" s="484">
        <f t="shared" si="12"/>
        <v>5107.97</v>
      </c>
      <c r="AC46" s="484">
        <f t="shared" si="12"/>
        <v>2758.7999999999997</v>
      </c>
      <c r="AD46" s="484">
        <f t="shared" si="12"/>
        <v>460.77</v>
      </c>
      <c r="AE46" s="484">
        <f t="shared" si="12"/>
        <v>3220.51</v>
      </c>
      <c r="AF46" s="484">
        <f t="shared" si="12"/>
        <v>669.91</v>
      </c>
      <c r="AG46" s="484">
        <f t="shared" si="12"/>
        <v>3610.9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50</v>
      </c>
      <c r="D47" s="84">
        <v>61</v>
      </c>
      <c r="E47" s="84">
        <v>96</v>
      </c>
      <c r="F47" s="84">
        <v>344</v>
      </c>
      <c r="G47" s="84">
        <v>210</v>
      </c>
      <c r="H47" s="84">
        <v>81</v>
      </c>
      <c r="I47" s="84"/>
      <c r="J47" s="84">
        <v>85</v>
      </c>
      <c r="K47" s="84">
        <v>122</v>
      </c>
      <c r="L47" s="84">
        <v>68</v>
      </c>
      <c r="M47" s="84">
        <v>167</v>
      </c>
      <c r="N47" s="84">
        <v>242</v>
      </c>
      <c r="O47" s="84">
        <v>216</v>
      </c>
      <c r="P47" s="84">
        <v>75</v>
      </c>
      <c r="Q47" s="84">
        <v>223</v>
      </c>
      <c r="R47" s="84">
        <v>267</v>
      </c>
      <c r="S47" s="84">
        <v>301</v>
      </c>
      <c r="T47" s="84">
        <v>525</v>
      </c>
      <c r="U47" s="84">
        <v>468</v>
      </c>
      <c r="V47" s="84">
        <v>222</v>
      </c>
      <c r="W47" s="84">
        <v>41</v>
      </c>
      <c r="X47" s="84">
        <v>180</v>
      </c>
      <c r="Y47" s="84">
        <v>223</v>
      </c>
      <c r="Z47" s="84">
        <v>243</v>
      </c>
      <c r="AA47" s="84">
        <v>326</v>
      </c>
      <c r="AB47" s="84">
        <v>319</v>
      </c>
      <c r="AC47" s="84">
        <v>160</v>
      </c>
      <c r="AD47" s="84">
        <v>52</v>
      </c>
      <c r="AE47" s="84">
        <v>213</v>
      </c>
      <c r="AF47" s="84">
        <v>68</v>
      </c>
      <c r="AG47" s="84">
        <v>214</v>
      </c>
      <c r="AH47" s="103">
        <f>SUM(C47:AG47)</f>
        <v>5862</v>
      </c>
      <c r="AJ47" s="126">
        <f>AH47</f>
        <v>5862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21</v>
      </c>
      <c r="D48" s="94">
        <v>36</v>
      </c>
      <c r="E48" s="94">
        <v>47</v>
      </c>
      <c r="F48" s="94">
        <v>79</v>
      </c>
      <c r="G48" s="94">
        <v>63</v>
      </c>
      <c r="H48" s="94">
        <v>25</v>
      </c>
      <c r="I48" s="94"/>
      <c r="J48" s="94">
        <v>29</v>
      </c>
      <c r="K48" s="94">
        <v>60</v>
      </c>
      <c r="L48" s="94">
        <v>27</v>
      </c>
      <c r="M48" s="94">
        <v>34</v>
      </c>
      <c r="N48" s="94">
        <v>64</v>
      </c>
      <c r="O48" s="94">
        <v>18</v>
      </c>
      <c r="P48" s="94">
        <v>16</v>
      </c>
      <c r="Q48" s="94">
        <v>38</v>
      </c>
      <c r="R48" s="94">
        <v>27</v>
      </c>
      <c r="S48" s="94">
        <v>50</v>
      </c>
      <c r="T48" s="94">
        <v>73</v>
      </c>
      <c r="U48" s="94">
        <v>79</v>
      </c>
      <c r="V48" s="94">
        <v>32</v>
      </c>
      <c r="W48" s="94">
        <v>13</v>
      </c>
      <c r="X48" s="94">
        <v>42</v>
      </c>
      <c r="Y48" s="94">
        <v>55</v>
      </c>
      <c r="Z48" s="94">
        <v>62</v>
      </c>
      <c r="AA48" s="94">
        <v>68</v>
      </c>
      <c r="AB48" s="94">
        <v>76</v>
      </c>
      <c r="AC48" s="94">
        <v>32</v>
      </c>
      <c r="AD48" s="94">
        <v>6</v>
      </c>
      <c r="AE48" s="94">
        <v>58</v>
      </c>
      <c r="AF48" s="94">
        <v>7</v>
      </c>
      <c r="AG48" s="94">
        <v>49</v>
      </c>
      <c r="AH48" s="105">
        <f>SUM(C48:AG48)</f>
        <v>1286</v>
      </c>
      <c r="AJ48" s="135">
        <f>AH48</f>
        <v>1286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71</v>
      </c>
      <c r="D50" s="212">
        <f t="shared" ref="D50:AG50" si="13">D47+D48</f>
        <v>97</v>
      </c>
      <c r="E50" s="212">
        <f t="shared" si="13"/>
        <v>143</v>
      </c>
      <c r="F50" s="212">
        <f t="shared" si="13"/>
        <v>423</v>
      </c>
      <c r="G50" s="212">
        <f t="shared" si="13"/>
        <v>273</v>
      </c>
      <c r="H50" s="212">
        <f t="shared" si="13"/>
        <v>106</v>
      </c>
      <c r="I50" s="212">
        <f t="shared" si="13"/>
        <v>0</v>
      </c>
      <c r="J50" s="212">
        <f t="shared" si="13"/>
        <v>114</v>
      </c>
      <c r="K50" s="212">
        <f t="shared" si="13"/>
        <v>182</v>
      </c>
      <c r="L50" s="212">
        <f t="shared" si="13"/>
        <v>95</v>
      </c>
      <c r="M50" s="212">
        <f t="shared" si="13"/>
        <v>201</v>
      </c>
      <c r="N50" s="212">
        <f t="shared" si="13"/>
        <v>306</v>
      </c>
      <c r="O50" s="212">
        <f t="shared" si="13"/>
        <v>234</v>
      </c>
      <c r="P50" s="212">
        <f t="shared" si="13"/>
        <v>91</v>
      </c>
      <c r="Q50" s="212">
        <f t="shared" si="13"/>
        <v>261</v>
      </c>
      <c r="R50" s="212">
        <f t="shared" si="13"/>
        <v>294</v>
      </c>
      <c r="S50" s="212">
        <f t="shared" si="13"/>
        <v>351</v>
      </c>
      <c r="T50" s="212">
        <f t="shared" si="13"/>
        <v>598</v>
      </c>
      <c r="U50" s="212">
        <f t="shared" si="13"/>
        <v>547</v>
      </c>
      <c r="V50" s="212">
        <f t="shared" si="13"/>
        <v>254</v>
      </c>
      <c r="W50" s="212">
        <f t="shared" si="13"/>
        <v>54</v>
      </c>
      <c r="X50" s="212">
        <f t="shared" si="13"/>
        <v>222</v>
      </c>
      <c r="Y50" s="212">
        <f t="shared" si="13"/>
        <v>278</v>
      </c>
      <c r="Z50" s="212">
        <f t="shared" si="13"/>
        <v>305</v>
      </c>
      <c r="AA50" s="212">
        <f t="shared" si="13"/>
        <v>394</v>
      </c>
      <c r="AB50" s="212">
        <f t="shared" si="13"/>
        <v>395</v>
      </c>
      <c r="AC50" s="212">
        <f t="shared" si="13"/>
        <v>192</v>
      </c>
      <c r="AD50" s="212">
        <f t="shared" si="13"/>
        <v>58</v>
      </c>
      <c r="AE50" s="212">
        <f t="shared" si="13"/>
        <v>271</v>
      </c>
      <c r="AF50" s="212">
        <f t="shared" si="13"/>
        <v>75</v>
      </c>
      <c r="AG50" s="281">
        <f t="shared" si="13"/>
        <v>263</v>
      </c>
      <c r="AH50" s="280">
        <f>SUM(C50:AG50)</f>
        <v>7148</v>
      </c>
      <c r="AJ50" s="211">
        <f>AH50</f>
        <v>7148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7.570422535211268</v>
      </c>
      <c r="D52" s="215">
        <f t="shared" ref="D52:AG52" si="14">IF(D50&lt;=1,0,IF(D50&gt;=0,(SUM(D4+D5)/D50)))</f>
        <v>9.0144329896907216</v>
      </c>
      <c r="E52" s="215">
        <f t="shared" si="14"/>
        <v>10.606993006993006</v>
      </c>
      <c r="F52" s="215">
        <f t="shared" si="14"/>
        <v>15.155555555555557</v>
      </c>
      <c r="G52" s="215">
        <f t="shared" si="14"/>
        <v>12.096703296703296</v>
      </c>
      <c r="H52" s="215">
        <f t="shared" si="14"/>
        <v>8.0188679245283012</v>
      </c>
      <c r="I52" s="215">
        <f t="shared" si="14"/>
        <v>0</v>
      </c>
      <c r="J52" s="215">
        <f t="shared" si="14"/>
        <v>8.1684210526315795</v>
      </c>
      <c r="K52" s="215">
        <f t="shared" si="14"/>
        <v>9.1912087912087905</v>
      </c>
      <c r="L52" s="215">
        <f t="shared" si="14"/>
        <v>9.2526315789473692</v>
      </c>
      <c r="M52" s="215">
        <f t="shared" si="14"/>
        <v>17.502487562189053</v>
      </c>
      <c r="N52" s="215">
        <f t="shared" si="14"/>
        <v>13.949019607843136</v>
      </c>
      <c r="O52" s="215">
        <f t="shared" si="14"/>
        <v>16.511111111111109</v>
      </c>
      <c r="P52" s="215">
        <f t="shared" si="14"/>
        <v>8.2747252747252755</v>
      </c>
      <c r="Q52" s="215">
        <f t="shared" si="14"/>
        <v>16.130268199233715</v>
      </c>
      <c r="R52" s="215">
        <f t="shared" si="14"/>
        <v>14.402721088435372</v>
      </c>
      <c r="S52" s="215">
        <f t="shared" si="14"/>
        <v>11.095156695156696</v>
      </c>
      <c r="T52" s="215">
        <f t="shared" si="14"/>
        <v>16.253511705685618</v>
      </c>
      <c r="U52" s="215">
        <f t="shared" si="14"/>
        <v>12.952102376599635</v>
      </c>
      <c r="V52" s="215">
        <f t="shared" si="14"/>
        <v>14.848031496062992</v>
      </c>
      <c r="W52" s="215">
        <f t="shared" si="14"/>
        <v>7.2962962962962967</v>
      </c>
      <c r="X52" s="215">
        <f t="shared" si="14"/>
        <v>8.4819819819819813</v>
      </c>
      <c r="Y52" s="215">
        <f t="shared" si="14"/>
        <v>11.061151079136691</v>
      </c>
      <c r="Z52" s="215">
        <f t="shared" si="14"/>
        <v>11.102950819672131</v>
      </c>
      <c r="AA52" s="215">
        <f t="shared" si="14"/>
        <v>17.512690355329948</v>
      </c>
      <c r="AB52" s="215">
        <f t="shared" si="14"/>
        <v>13.892658227848102</v>
      </c>
      <c r="AC52" s="215">
        <f t="shared" si="14"/>
        <v>13.433333333333332</v>
      </c>
      <c r="AD52" s="215">
        <f t="shared" si="14"/>
        <v>8.5172413793103452</v>
      </c>
      <c r="AE52" s="215">
        <f t="shared" si="14"/>
        <v>9.7365313653136525</v>
      </c>
      <c r="AF52" s="215">
        <f t="shared" si="14"/>
        <v>8.3333333333333339</v>
      </c>
      <c r="AG52" s="215">
        <f t="shared" si="14"/>
        <v>11.793155893536122</v>
      </c>
      <c r="AH52" s="280">
        <f>IFERROR(AVERAGEIF(C52:AG52, "&lt;&gt;0"),)</f>
        <v>11.738523197120145</v>
      </c>
      <c r="AJ52" s="221">
        <f>AH52</f>
        <v>11.738523197120145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10.75</v>
      </c>
      <c r="D54" s="242">
        <f t="shared" ref="D54:AG54" si="15">IF(D47&lt;=1,0,IF(D47&gt;=0,(SUM(D4+D5)/D47)))</f>
        <v>14.334426229508196</v>
      </c>
      <c r="E54" s="242">
        <f t="shared" si="15"/>
        <v>15.799999999999999</v>
      </c>
      <c r="F54" s="242">
        <f t="shared" si="15"/>
        <v>18.636046511627907</v>
      </c>
      <c r="G54" s="242">
        <f t="shared" si="15"/>
        <v>15.725714285714286</v>
      </c>
      <c r="H54" s="242">
        <f t="shared" si="15"/>
        <v>10.493827160493828</v>
      </c>
      <c r="I54" s="242">
        <f t="shared" si="15"/>
        <v>0</v>
      </c>
      <c r="J54" s="242">
        <f t="shared" si="15"/>
        <v>10.955294117647059</v>
      </c>
      <c r="K54" s="242">
        <f t="shared" si="15"/>
        <v>13.711475409836066</v>
      </c>
      <c r="L54" s="242">
        <f t="shared" si="15"/>
        <v>12.926470588235293</v>
      </c>
      <c r="M54" s="242">
        <f t="shared" si="15"/>
        <v>21.065868263473053</v>
      </c>
      <c r="N54" s="242">
        <f t="shared" si="15"/>
        <v>17.638016528925618</v>
      </c>
      <c r="O54" s="242">
        <f t="shared" si="15"/>
        <v>17.887037037037036</v>
      </c>
      <c r="P54" s="242">
        <f t="shared" si="15"/>
        <v>10.039999999999999</v>
      </c>
      <c r="Q54" s="242">
        <f t="shared" si="15"/>
        <v>18.878923766816143</v>
      </c>
      <c r="R54" s="242">
        <f t="shared" si="15"/>
        <v>15.859176029962546</v>
      </c>
      <c r="S54" s="242">
        <f t="shared" si="15"/>
        <v>12.938205980066446</v>
      </c>
      <c r="T54" s="242">
        <f t="shared" si="15"/>
        <v>18.513523809523811</v>
      </c>
      <c r="U54" s="242">
        <f t="shared" si="15"/>
        <v>15.138461538461538</v>
      </c>
      <c r="V54" s="242">
        <f t="shared" si="15"/>
        <v>16.988288288288288</v>
      </c>
      <c r="W54" s="242">
        <f t="shared" si="15"/>
        <v>9.6097560975609753</v>
      </c>
      <c r="X54" s="242">
        <f t="shared" si="15"/>
        <v>10.46111111111111</v>
      </c>
      <c r="Y54" s="242">
        <f t="shared" si="15"/>
        <v>13.789237668161435</v>
      </c>
      <c r="Z54" s="242">
        <f t="shared" si="15"/>
        <v>13.935802469135803</v>
      </c>
      <c r="AA54" s="242">
        <f t="shared" si="15"/>
        <v>21.165644171779142</v>
      </c>
      <c r="AB54" s="242">
        <f t="shared" si="15"/>
        <v>17.202507836990598</v>
      </c>
      <c r="AC54" s="242">
        <f t="shared" si="15"/>
        <v>16.119999999999997</v>
      </c>
      <c r="AD54" s="242">
        <f t="shared" si="15"/>
        <v>9.5</v>
      </c>
      <c r="AE54" s="242">
        <f t="shared" si="15"/>
        <v>12.387793427230047</v>
      </c>
      <c r="AF54" s="242">
        <f t="shared" si="15"/>
        <v>9.1911764705882355</v>
      </c>
      <c r="AG54" s="242">
        <f t="shared" si="15"/>
        <v>14.493457943925232</v>
      </c>
      <c r="AH54" s="279">
        <f>IFERROR(AVERAGEIF(C54:AG54, "&lt;&gt;0"),)</f>
        <v>14.537908091403324</v>
      </c>
      <c r="AI54" s="243"/>
      <c r="AJ54" s="244">
        <f>AH54</f>
        <v>14.537908091403324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301" t="s">
        <v>234</v>
      </c>
      <c r="D57" s="301">
        <v>95</v>
      </c>
      <c r="E57" s="301">
        <v>95</v>
      </c>
      <c r="F57" s="301">
        <v>94</v>
      </c>
      <c r="G57" s="301">
        <v>83</v>
      </c>
      <c r="H57" s="301" t="s">
        <v>234</v>
      </c>
      <c r="I57" s="301" t="s">
        <v>234</v>
      </c>
      <c r="J57" s="301" t="s">
        <v>234</v>
      </c>
      <c r="K57" s="301">
        <v>94</v>
      </c>
      <c r="L57" s="301" t="s">
        <v>234</v>
      </c>
      <c r="M57" s="301">
        <v>93</v>
      </c>
      <c r="N57" s="301">
        <v>97</v>
      </c>
      <c r="O57" s="301">
        <v>98</v>
      </c>
      <c r="P57" s="301" t="s">
        <v>234</v>
      </c>
      <c r="Q57" s="301" t="s">
        <v>234</v>
      </c>
      <c r="R57" s="301">
        <v>92</v>
      </c>
      <c r="S57" s="301">
        <v>94</v>
      </c>
      <c r="T57" s="301">
        <v>95</v>
      </c>
      <c r="U57" s="301">
        <v>94</v>
      </c>
      <c r="V57" s="301">
        <v>96</v>
      </c>
      <c r="W57" s="301" t="s">
        <v>234</v>
      </c>
      <c r="X57" s="301" t="s">
        <v>234</v>
      </c>
      <c r="Y57" s="301" t="s">
        <v>234</v>
      </c>
      <c r="Z57" s="301">
        <v>94</v>
      </c>
      <c r="AA57" s="301">
        <v>94</v>
      </c>
      <c r="AB57" s="301">
        <v>95</v>
      </c>
      <c r="AC57" s="301" t="s">
        <v>234</v>
      </c>
      <c r="AD57" s="301" t="s">
        <v>234</v>
      </c>
      <c r="AE57" s="301" t="s">
        <v>234</v>
      </c>
      <c r="AF57" s="301" t="s">
        <v>234</v>
      </c>
      <c r="AG57" s="301">
        <v>96</v>
      </c>
      <c r="AH57" s="302">
        <f>IFERROR(AVERAGEIF(C57:AG57,"&lt;&gt;0"),)</f>
        <v>94.058823529411768</v>
      </c>
      <c r="AJ57" s="303">
        <f>AH57</f>
        <v>94.058823529411768</v>
      </c>
      <c r="AK57" s="304" t="s">
        <v>133</v>
      </c>
    </row>
    <row r="58" spans="1:37" x14ac:dyDescent="0.25">
      <c r="A58" s="90"/>
      <c r="B58" s="301" t="s">
        <v>155</v>
      </c>
      <c r="C58" s="301" t="s">
        <v>234</v>
      </c>
      <c r="D58" s="301" t="s">
        <v>234</v>
      </c>
      <c r="E58" s="301" t="s">
        <v>234</v>
      </c>
      <c r="F58" s="301">
        <v>80</v>
      </c>
      <c r="G58" s="301" t="s">
        <v>234</v>
      </c>
      <c r="H58" s="301" t="s">
        <v>234</v>
      </c>
      <c r="I58" s="301" t="s">
        <v>234</v>
      </c>
      <c r="J58" s="301" t="s">
        <v>234</v>
      </c>
      <c r="K58" s="301" t="s">
        <v>234</v>
      </c>
      <c r="L58" s="301" t="s">
        <v>234</v>
      </c>
      <c r="M58" s="301">
        <v>80</v>
      </c>
      <c r="N58" s="301">
        <v>80</v>
      </c>
      <c r="O58" s="301">
        <v>80</v>
      </c>
      <c r="P58" s="301" t="s">
        <v>234</v>
      </c>
      <c r="Q58" s="301" t="s">
        <v>234</v>
      </c>
      <c r="R58" s="301" t="s">
        <v>234</v>
      </c>
      <c r="S58" s="301" t="s">
        <v>234</v>
      </c>
      <c r="T58" s="301">
        <v>80</v>
      </c>
      <c r="U58" s="301">
        <v>80</v>
      </c>
      <c r="V58" s="301">
        <v>80</v>
      </c>
      <c r="W58" s="301" t="s">
        <v>234</v>
      </c>
      <c r="X58" s="301" t="s">
        <v>234</v>
      </c>
      <c r="Y58" s="301" t="s">
        <v>234</v>
      </c>
      <c r="Z58" s="301" t="s">
        <v>234</v>
      </c>
      <c r="AA58" s="301">
        <v>80</v>
      </c>
      <c r="AB58" s="301">
        <v>80</v>
      </c>
      <c r="AC58" s="301">
        <v>80</v>
      </c>
      <c r="AD58" s="301" t="s">
        <v>234</v>
      </c>
      <c r="AE58" s="301" t="s">
        <v>234</v>
      </c>
      <c r="AF58" s="301" t="s">
        <v>234</v>
      </c>
      <c r="AG58" s="301" t="s">
        <v>234</v>
      </c>
      <c r="AH58" s="302">
        <f t="shared" ref="AH58:AH60" si="16">IFERROR(AVERAGEIF(C58:AG58,"&lt;&gt;0"),)</f>
        <v>80</v>
      </c>
      <c r="AJ58" s="305">
        <f>AH58</f>
        <v>80</v>
      </c>
      <c r="AK58" s="306" t="s">
        <v>134</v>
      </c>
    </row>
    <row r="59" spans="1:37" x14ac:dyDescent="0.25">
      <c r="A59" s="90"/>
      <c r="B59" s="301" t="s">
        <v>135</v>
      </c>
      <c r="C59" s="301" t="s">
        <v>234</v>
      </c>
      <c r="D59" s="301" t="s">
        <v>234</v>
      </c>
      <c r="E59" s="301" t="s">
        <v>234</v>
      </c>
      <c r="F59" s="301" t="s">
        <v>234</v>
      </c>
      <c r="G59" s="301" t="s">
        <v>234</v>
      </c>
      <c r="H59" s="301" t="s">
        <v>234</v>
      </c>
      <c r="I59" s="301" t="s">
        <v>234</v>
      </c>
      <c r="J59" s="301" t="s">
        <v>234</v>
      </c>
      <c r="K59" s="301" t="s">
        <v>234</v>
      </c>
      <c r="L59" s="301" t="s">
        <v>234</v>
      </c>
      <c r="M59" s="301" t="s">
        <v>234</v>
      </c>
      <c r="N59" s="301" t="s">
        <v>234</v>
      </c>
      <c r="O59" s="301" t="s">
        <v>234</v>
      </c>
      <c r="P59" s="301" t="s">
        <v>234</v>
      </c>
      <c r="Q59" s="301">
        <v>74</v>
      </c>
      <c r="R59" s="301" t="s">
        <v>234</v>
      </c>
      <c r="S59" s="301" t="s">
        <v>234</v>
      </c>
      <c r="T59" s="301" t="s">
        <v>234</v>
      </c>
      <c r="U59" s="301" t="s">
        <v>234</v>
      </c>
      <c r="V59" s="301" t="s">
        <v>234</v>
      </c>
      <c r="W59" s="301" t="s">
        <v>234</v>
      </c>
      <c r="X59" s="301" t="s">
        <v>234</v>
      </c>
      <c r="Y59" s="301" t="s">
        <v>234</v>
      </c>
      <c r="Z59" s="301" t="s">
        <v>234</v>
      </c>
      <c r="AA59" s="301" t="s">
        <v>234</v>
      </c>
      <c r="AB59" s="301" t="s">
        <v>234</v>
      </c>
      <c r="AC59" s="301">
        <v>74</v>
      </c>
      <c r="AD59" s="301" t="s">
        <v>234</v>
      </c>
      <c r="AE59" s="301">
        <v>74</v>
      </c>
      <c r="AF59" s="301" t="s">
        <v>234</v>
      </c>
      <c r="AG59" s="301" t="s">
        <v>234</v>
      </c>
      <c r="AH59" s="302">
        <f t="shared" si="16"/>
        <v>74</v>
      </c>
      <c r="AJ59" s="305">
        <f>AH59</f>
        <v>74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>
        <v>0.5</v>
      </c>
      <c r="AG60" s="308"/>
      <c r="AH60" s="309">
        <f t="shared" si="16"/>
        <v>0.5</v>
      </c>
      <c r="AJ60" s="310">
        <f>AH60</f>
        <v>0.5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6"/>
      <c r="B1" s="507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44986</v>
      </c>
      <c r="B2" s="355" t="str">
        <f>TEXT(A2,"ddd")</f>
        <v>Wed</v>
      </c>
      <c r="C2" s="321">
        <f>TRANSPOSE(Pool!C4:AG4)</f>
        <v>537.5</v>
      </c>
      <c r="D2" s="321">
        <f t="array" ref="D2:D32">TRANSPOSE(Pool!C9:AG9)</f>
        <v>0</v>
      </c>
      <c r="E2" s="321">
        <f t="array" ref="E2:E32">TRANSPOSE(Pool!C14:AG14)</f>
        <v>4</v>
      </c>
      <c r="F2" s="321">
        <f t="array" ref="F2:F32">TRANSPOSE(Pool!C15:AG15)</f>
        <v>87.75</v>
      </c>
      <c r="G2" s="321">
        <f t="array" ref="G2:G32">TRANSPOSE(Pool!C16:AG16)</f>
        <v>0</v>
      </c>
      <c r="H2" s="321">
        <f>TRANSPOSE(Pool!C18:AG18)</f>
        <v>0</v>
      </c>
      <c r="I2" s="324">
        <f t="array" ref="I2:I32">TRANSPOSE(Pool!C20:AG20)</f>
        <v>0</v>
      </c>
      <c r="J2" s="327"/>
      <c r="K2" s="328" t="str">
        <f t="array" ref="K2:K32">TRANSPOSE(Pool!C57:AG57)</f>
        <v>closed</v>
      </c>
      <c r="L2" s="331" t="str">
        <f t="array" ref="L2:L32">TRANSPOSE(Pool!C58:AG58)</f>
        <v>closed</v>
      </c>
      <c r="M2" s="334" t="str">
        <f t="array" ref="M2:M32">TRANSPOSE(Pool!C59:AG59)</f>
        <v>closed</v>
      </c>
      <c r="N2" s="327"/>
      <c r="O2" s="338">
        <f t="array" ref="O2:O32">TRANSPOSE(Pool!C50:AG50)</f>
        <v>71</v>
      </c>
    </row>
    <row r="3" spans="1:15" x14ac:dyDescent="0.25">
      <c r="A3" s="341">
        <f t="shared" ref="A3:A32" si="0">SUM(A2+1)</f>
        <v>44987</v>
      </c>
      <c r="B3" s="356" t="str">
        <f>TEXT(A3,"ddd")</f>
        <v>Thu</v>
      </c>
      <c r="C3" s="322">
        <f>TRANSPOSE(Pool!C9:AG9)</f>
        <v>0</v>
      </c>
      <c r="D3" s="322">
        <v>0</v>
      </c>
      <c r="E3" s="322">
        <v>12</v>
      </c>
      <c r="F3" s="322">
        <v>39.28</v>
      </c>
      <c r="G3" s="322">
        <v>0</v>
      </c>
      <c r="H3" s="322">
        <f>TRANSPOSE(Pool!C19:AG19)</f>
        <v>0</v>
      </c>
      <c r="I3" s="325">
        <v>0</v>
      </c>
      <c r="J3" s="327"/>
      <c r="K3" s="329">
        <v>95</v>
      </c>
      <c r="L3" s="332" t="str">
        <v>closed</v>
      </c>
      <c r="M3" s="335" t="str">
        <v>closed</v>
      </c>
      <c r="N3" s="327"/>
      <c r="O3" s="339">
        <v>97</v>
      </c>
    </row>
    <row r="4" spans="1:15" x14ac:dyDescent="0.25">
      <c r="A4" s="341">
        <f t="shared" si="0"/>
        <v>44988</v>
      </c>
      <c r="B4" s="356" t="str">
        <f>TEXT(A4,"DDD")</f>
        <v>Fri</v>
      </c>
      <c r="C4" s="322">
        <f>TRANSPOSE(Pool!C5:AG5)</f>
        <v>0</v>
      </c>
      <c r="D4" s="322">
        <v>0</v>
      </c>
      <c r="E4" s="322">
        <v>14</v>
      </c>
      <c r="F4" s="322">
        <v>124.94</v>
      </c>
      <c r="G4" s="322">
        <v>0</v>
      </c>
      <c r="H4" s="322">
        <f>TRANSPOSE(Pool!C21:AG21)</f>
        <v>0</v>
      </c>
      <c r="I4" s="325">
        <v>0</v>
      </c>
      <c r="J4" s="327"/>
      <c r="K4" s="329">
        <v>95</v>
      </c>
      <c r="L4" s="332" t="str">
        <v>closed</v>
      </c>
      <c r="M4" s="335" t="str">
        <v>closed</v>
      </c>
      <c r="N4" s="327"/>
      <c r="O4" s="339">
        <v>143</v>
      </c>
    </row>
    <row r="5" spans="1:15" x14ac:dyDescent="0.25">
      <c r="A5" s="341">
        <f t="shared" si="0"/>
        <v>44989</v>
      </c>
      <c r="B5" s="356" t="str">
        <f>TEXT(A5,"ddd")</f>
        <v>Sat</v>
      </c>
      <c r="C5" s="322">
        <f>TRANSPOSE(Pool!C6:AG6)</f>
        <v>517.5</v>
      </c>
      <c r="D5" s="322">
        <v>0</v>
      </c>
      <c r="E5" s="322">
        <v>0</v>
      </c>
      <c r="F5" s="322">
        <v>308.64</v>
      </c>
      <c r="G5" s="322">
        <v>0</v>
      </c>
      <c r="H5" s="322">
        <f>TRANSPOSE(Pool!C20:AG20)</f>
        <v>0</v>
      </c>
      <c r="I5" s="325">
        <v>90</v>
      </c>
      <c r="J5" s="327"/>
      <c r="K5" s="329">
        <v>94</v>
      </c>
      <c r="L5" s="332">
        <v>80</v>
      </c>
      <c r="M5" s="335" t="str">
        <v>closed</v>
      </c>
      <c r="N5" s="327"/>
      <c r="O5" s="339">
        <v>423</v>
      </c>
    </row>
    <row r="6" spans="1:15" x14ac:dyDescent="0.25">
      <c r="A6" s="341">
        <f t="shared" si="0"/>
        <v>44990</v>
      </c>
      <c r="B6" s="356" t="str">
        <f>TEXT(A6,"DDD")</f>
        <v>Sun</v>
      </c>
      <c r="C6" s="322">
        <f>TRANSPOSE(Pool!C7:AG7)</f>
        <v>320</v>
      </c>
      <c r="D6" s="322">
        <v>0</v>
      </c>
      <c r="E6" s="322">
        <v>0</v>
      </c>
      <c r="F6" s="322">
        <v>251.44</v>
      </c>
      <c r="G6" s="322">
        <v>0</v>
      </c>
      <c r="H6" s="322">
        <f>TRANSPOSE(Pool!C22:AG22)</f>
        <v>0</v>
      </c>
      <c r="I6" s="325">
        <v>0</v>
      </c>
      <c r="J6" s="327"/>
      <c r="K6" s="329">
        <v>83</v>
      </c>
      <c r="L6" s="332" t="str">
        <v>closed</v>
      </c>
      <c r="M6" s="335" t="str">
        <v>closed</v>
      </c>
      <c r="N6" s="327"/>
      <c r="O6" s="339">
        <v>273</v>
      </c>
    </row>
    <row r="7" spans="1:15" x14ac:dyDescent="0.25">
      <c r="A7" s="341">
        <f t="shared" si="0"/>
        <v>44991</v>
      </c>
      <c r="B7" s="356" t="str">
        <f>TEXT(A7,"ddd")</f>
        <v>Mon</v>
      </c>
      <c r="C7" s="322">
        <f>TRANSPOSE(Pool!C8:AG8)</f>
        <v>0</v>
      </c>
      <c r="D7" s="322">
        <v>0</v>
      </c>
      <c r="E7" s="322">
        <v>0</v>
      </c>
      <c r="F7" s="322">
        <v>83.16</v>
      </c>
      <c r="G7" s="322">
        <v>0</v>
      </c>
      <c r="H7" s="322">
        <f>TRANSPOSE(Pool!C23:AG23)</f>
        <v>0</v>
      </c>
      <c r="I7" s="325">
        <v>0</v>
      </c>
      <c r="J7" s="327"/>
      <c r="K7" s="329" t="str">
        <v>closed</v>
      </c>
      <c r="L7" s="332" t="str">
        <v>closed</v>
      </c>
      <c r="M7" s="335" t="str">
        <v>closed</v>
      </c>
      <c r="N7" s="327"/>
      <c r="O7" s="339">
        <v>106</v>
      </c>
    </row>
    <row r="8" spans="1:15" x14ac:dyDescent="0.25">
      <c r="A8" s="341">
        <f t="shared" si="0"/>
        <v>44992</v>
      </c>
      <c r="B8" s="356" t="str">
        <f>TEXT(A8,"DDD")</f>
        <v>Tue</v>
      </c>
      <c r="C8" s="322">
        <f>TRANSPOSE(Pool!C10:AG10)</f>
        <v>0</v>
      </c>
      <c r="D8" s="322">
        <v>0</v>
      </c>
      <c r="E8" s="322">
        <v>0</v>
      </c>
      <c r="F8" s="322">
        <v>0</v>
      </c>
      <c r="G8" s="322">
        <v>0</v>
      </c>
      <c r="H8" s="322">
        <f>TRANSPOSE(Pool!C24:AG24)</f>
        <v>0</v>
      </c>
      <c r="I8" s="325">
        <v>0</v>
      </c>
      <c r="J8" s="327"/>
      <c r="K8" s="329" t="str">
        <v>closed</v>
      </c>
      <c r="L8" s="332" t="str">
        <v>closed</v>
      </c>
      <c r="M8" s="335" t="str">
        <v>closed</v>
      </c>
      <c r="N8" s="327"/>
      <c r="O8" s="339">
        <v>0</v>
      </c>
    </row>
    <row r="9" spans="1:15" x14ac:dyDescent="0.25">
      <c r="A9" s="341">
        <f t="shared" si="0"/>
        <v>44993</v>
      </c>
      <c r="B9" s="356" t="str">
        <f>TEXT(A9,"ddd")</f>
        <v>Wed</v>
      </c>
      <c r="C9" s="322">
        <f>TRANSPOSE(Pool!C11:AG11)</f>
        <v>0</v>
      </c>
      <c r="D9" s="322">
        <v>0</v>
      </c>
      <c r="E9" s="322">
        <v>87</v>
      </c>
      <c r="F9" s="322">
        <v>95.51</v>
      </c>
      <c r="G9" s="322">
        <v>0</v>
      </c>
      <c r="H9" s="322">
        <f>TRANSPOSE(Pool!C25:AG25)</f>
        <v>0</v>
      </c>
      <c r="I9" s="325">
        <v>0</v>
      </c>
      <c r="J9" s="327"/>
      <c r="K9" s="329" t="str">
        <v>closed</v>
      </c>
      <c r="L9" s="332" t="str">
        <v>closed</v>
      </c>
      <c r="M9" s="336" t="str">
        <v>closed</v>
      </c>
      <c r="N9" s="327"/>
      <c r="O9" s="339">
        <v>114</v>
      </c>
    </row>
    <row r="10" spans="1:15" x14ac:dyDescent="0.25">
      <c r="A10" s="341">
        <f t="shared" si="0"/>
        <v>44994</v>
      </c>
      <c r="B10" s="356" t="str">
        <f>TEXT(A10,"DDD")</f>
        <v>Thu</v>
      </c>
      <c r="C10" s="322">
        <f>TRANSPOSE(Pool!C12:AG12)</f>
        <v>0</v>
      </c>
      <c r="D10" s="322">
        <v>0</v>
      </c>
      <c r="E10" s="322">
        <v>0</v>
      </c>
      <c r="F10" s="322">
        <v>109.16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94</v>
      </c>
      <c r="L10" s="332" t="str">
        <v>closed</v>
      </c>
      <c r="M10" s="335" t="str">
        <v>closed</v>
      </c>
      <c r="N10" s="327"/>
      <c r="O10" s="339">
        <v>182</v>
      </c>
    </row>
    <row r="11" spans="1:15" x14ac:dyDescent="0.25">
      <c r="A11" s="341">
        <f t="shared" si="0"/>
        <v>44995</v>
      </c>
      <c r="B11" s="356" t="str">
        <f>TEXT(A11,"ddd")</f>
        <v>Fri</v>
      </c>
      <c r="C11" s="322">
        <f>TRANSPOSE(Pool!C13:AG13)</f>
        <v>0</v>
      </c>
      <c r="D11" s="322">
        <v>0</v>
      </c>
      <c r="E11" s="322">
        <v>0</v>
      </c>
      <c r="F11" s="322">
        <v>106.73</v>
      </c>
      <c r="G11" s="322">
        <v>0</v>
      </c>
      <c r="H11" s="322">
        <f>TRANSPOSE(Pool!C27:AG27)</f>
        <v>0</v>
      </c>
      <c r="I11" s="325">
        <v>0</v>
      </c>
      <c r="J11" s="327"/>
      <c r="K11" s="329" t="str">
        <v>closed</v>
      </c>
      <c r="L11" s="332" t="str">
        <v>closed</v>
      </c>
      <c r="M11" s="335" t="str">
        <v>closed</v>
      </c>
      <c r="N11" s="327"/>
      <c r="O11" s="339">
        <v>95</v>
      </c>
    </row>
    <row r="12" spans="1:15" x14ac:dyDescent="0.25">
      <c r="A12" s="341">
        <f t="shared" si="0"/>
        <v>44996</v>
      </c>
      <c r="B12" s="356" t="str">
        <f>TEXT(A12,"DDD")</f>
        <v>Sat</v>
      </c>
      <c r="C12" s="322">
        <f>TRANSPOSE(Pool!C14:AG14)</f>
        <v>4</v>
      </c>
      <c r="D12" s="322">
        <v>0</v>
      </c>
      <c r="E12" s="322">
        <v>0</v>
      </c>
      <c r="F12" s="322">
        <v>168.19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93</v>
      </c>
      <c r="L12" s="332">
        <v>80</v>
      </c>
      <c r="M12" s="335" t="str">
        <v>closed</v>
      </c>
      <c r="N12" s="327"/>
      <c r="O12" s="339">
        <v>201</v>
      </c>
    </row>
    <row r="13" spans="1:15" x14ac:dyDescent="0.25">
      <c r="A13" s="341">
        <f t="shared" si="0"/>
        <v>44997</v>
      </c>
      <c r="B13" s="356" t="str">
        <f>TEXT(A13,"ddd")</f>
        <v>Sun</v>
      </c>
      <c r="C13" s="322">
        <f>TRANSPOSE(Pool!C15:AG15)</f>
        <v>87.75</v>
      </c>
      <c r="D13" s="322">
        <v>0</v>
      </c>
      <c r="E13" s="322">
        <v>0</v>
      </c>
      <c r="F13" s="322">
        <v>250.3</v>
      </c>
      <c r="G13" s="322">
        <v>0</v>
      </c>
      <c r="H13" s="322">
        <f>TRANSPOSE(Pool!C29:AG29)</f>
        <v>1222.5600000000002</v>
      </c>
      <c r="I13" s="325">
        <v>0</v>
      </c>
      <c r="J13" s="327"/>
      <c r="K13" s="329">
        <v>97</v>
      </c>
      <c r="L13" s="332">
        <v>80</v>
      </c>
      <c r="M13" s="335" t="str">
        <v>closed</v>
      </c>
      <c r="N13" s="327"/>
      <c r="O13" s="339">
        <v>306</v>
      </c>
    </row>
    <row r="14" spans="1:15" x14ac:dyDescent="0.25">
      <c r="A14" s="341">
        <f t="shared" si="0"/>
        <v>44998</v>
      </c>
      <c r="B14" s="356" t="str">
        <f>TEXT(A14,"DDD")</f>
        <v>Mon</v>
      </c>
      <c r="C14" s="322">
        <f>TRANSPOSE(Pool!C16:AG16)</f>
        <v>0</v>
      </c>
      <c r="D14" s="322">
        <v>0</v>
      </c>
      <c r="E14" s="322">
        <v>66</v>
      </c>
      <c r="F14" s="322">
        <v>263.16000000000003</v>
      </c>
      <c r="G14" s="322">
        <v>0</v>
      </c>
      <c r="H14" s="322">
        <f>TRANSPOSE(Pool!C30:AG30)</f>
        <v>1222.56</v>
      </c>
      <c r="I14" s="325">
        <v>0</v>
      </c>
      <c r="J14" s="327"/>
      <c r="K14" s="329">
        <v>98</v>
      </c>
      <c r="L14" s="332">
        <v>80</v>
      </c>
      <c r="M14" s="335" t="str">
        <v>closed</v>
      </c>
      <c r="N14" s="327"/>
      <c r="O14" s="339">
        <v>234</v>
      </c>
    </row>
    <row r="15" spans="1:15" x14ac:dyDescent="0.25">
      <c r="A15" s="341">
        <f t="shared" si="0"/>
        <v>44999</v>
      </c>
      <c r="B15" s="356" t="str">
        <f>TEXT(A15,"ddd")</f>
        <v>Tue</v>
      </c>
      <c r="C15" s="322">
        <f>TRANSPOSE(Pool!C18:AG18)</f>
        <v>181.5</v>
      </c>
      <c r="D15" s="322">
        <v>0</v>
      </c>
      <c r="E15" s="322">
        <v>0</v>
      </c>
      <c r="F15" s="322">
        <v>73.569999999999993</v>
      </c>
      <c r="G15" s="322">
        <v>0</v>
      </c>
      <c r="H15" s="322">
        <f>TRANSPOSE(Pool!C31:AG31)</f>
        <v>0</v>
      </c>
      <c r="I15" s="325">
        <v>0</v>
      </c>
      <c r="J15" s="327"/>
      <c r="K15" s="329" t="str">
        <v>closed</v>
      </c>
      <c r="L15" s="332" t="str">
        <v>closed</v>
      </c>
      <c r="M15" s="335" t="str">
        <v>closed</v>
      </c>
      <c r="N15" s="327"/>
      <c r="O15" s="339">
        <v>91</v>
      </c>
    </row>
    <row r="16" spans="1:15" x14ac:dyDescent="0.25">
      <c r="A16" s="341">
        <f t="shared" si="0"/>
        <v>45000</v>
      </c>
      <c r="B16" s="356" t="str">
        <f>TEXT(A16,"DDD")</f>
        <v>Wed</v>
      </c>
      <c r="C16" s="322">
        <f>TRANSPOSE(Pool!C19:AG19)</f>
        <v>0</v>
      </c>
      <c r="D16" s="322">
        <v>0</v>
      </c>
      <c r="E16" s="322">
        <v>4</v>
      </c>
      <c r="F16" s="322">
        <v>283.33999999999997</v>
      </c>
      <c r="G16" s="322">
        <v>0</v>
      </c>
      <c r="H16" s="322">
        <f>TRANSPOSE(Pool!C32:AG32)</f>
        <v>0</v>
      </c>
      <c r="I16" s="325">
        <v>0</v>
      </c>
      <c r="J16" s="327"/>
      <c r="K16" s="329" t="str">
        <v>closed</v>
      </c>
      <c r="L16" s="332" t="str">
        <v>closed</v>
      </c>
      <c r="M16" s="335">
        <v>74</v>
      </c>
      <c r="N16" s="327"/>
      <c r="O16" s="339">
        <v>261</v>
      </c>
    </row>
    <row r="17" spans="1:15" x14ac:dyDescent="0.25">
      <c r="A17" s="341">
        <f t="shared" si="0"/>
        <v>45001</v>
      </c>
      <c r="B17" s="356" t="str">
        <f>TEXT(A17,"ddd")</f>
        <v>Thu</v>
      </c>
      <c r="C17" s="322">
        <f>TRANSPOSE(Pool!C21:AG21)</f>
        <v>0</v>
      </c>
      <c r="D17" s="322">
        <v>0</v>
      </c>
      <c r="E17" s="322">
        <v>40</v>
      </c>
      <c r="F17" s="322">
        <v>434.99</v>
      </c>
      <c r="G17" s="322">
        <v>0</v>
      </c>
      <c r="H17" s="322">
        <f>TRANSPOSE(Pool!C33:AG33)</f>
        <v>192.02</v>
      </c>
      <c r="I17" s="325">
        <v>0</v>
      </c>
      <c r="J17" s="327"/>
      <c r="K17" s="329">
        <v>92</v>
      </c>
      <c r="L17" s="332" t="str">
        <v>closed</v>
      </c>
      <c r="M17" s="335" t="str">
        <v>closed</v>
      </c>
      <c r="N17" s="327"/>
      <c r="O17" s="339">
        <v>294</v>
      </c>
    </row>
    <row r="18" spans="1:15" x14ac:dyDescent="0.25">
      <c r="A18" s="341">
        <f t="shared" si="0"/>
        <v>45002</v>
      </c>
      <c r="B18" s="356" t="str">
        <f>TEXT(A18,"DDD")</f>
        <v>Fri</v>
      </c>
      <c r="C18" s="322">
        <f>TRANSPOSE(Pool!C20:AG20)</f>
        <v>0</v>
      </c>
      <c r="D18" s="322">
        <v>0</v>
      </c>
      <c r="E18" s="322">
        <v>10</v>
      </c>
      <c r="F18" s="322">
        <v>298.39999999999998</v>
      </c>
      <c r="G18" s="322">
        <v>0</v>
      </c>
      <c r="H18" s="322">
        <f>TRANSPOSE(Pool!C34:AG34)</f>
        <v>1030.54</v>
      </c>
      <c r="I18" s="325">
        <v>0</v>
      </c>
      <c r="J18" s="327"/>
      <c r="K18" s="329">
        <v>94</v>
      </c>
      <c r="L18" s="332" t="str">
        <v>closed</v>
      </c>
      <c r="M18" s="335" t="str">
        <v>closed</v>
      </c>
      <c r="N18" s="327"/>
      <c r="O18" s="339">
        <v>351</v>
      </c>
    </row>
    <row r="19" spans="1:15" x14ac:dyDescent="0.25">
      <c r="A19" s="341">
        <f t="shared" si="0"/>
        <v>45003</v>
      </c>
      <c r="B19" s="356" t="str">
        <f>TEXT(A19,"ddd")</f>
        <v>Sat</v>
      </c>
      <c r="C19" s="322">
        <f>TRANSPOSE(Pool!C22:AG22)</f>
        <v>0</v>
      </c>
      <c r="D19" s="322">
        <v>0</v>
      </c>
      <c r="E19" s="322">
        <v>0</v>
      </c>
      <c r="F19" s="322">
        <v>474.39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95</v>
      </c>
      <c r="L19" s="332">
        <v>80</v>
      </c>
      <c r="M19" s="335" t="str">
        <v>closed</v>
      </c>
      <c r="N19" s="327"/>
      <c r="O19" s="339">
        <v>598</v>
      </c>
    </row>
    <row r="20" spans="1:15" x14ac:dyDescent="0.25">
      <c r="A20" s="341">
        <f t="shared" si="0"/>
        <v>45004</v>
      </c>
      <c r="B20" s="356" t="str">
        <f>TEXT(A20,"DDD")</f>
        <v>Sun</v>
      </c>
      <c r="C20" s="322">
        <f>TRANSPOSE(Pool!C23:AG23)</f>
        <v>0</v>
      </c>
      <c r="D20" s="322">
        <v>0</v>
      </c>
      <c r="E20" s="322">
        <v>67</v>
      </c>
      <c r="F20" s="322">
        <v>381.24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94</v>
      </c>
      <c r="L20" s="332">
        <v>80</v>
      </c>
      <c r="M20" s="335" t="str">
        <v>closed</v>
      </c>
      <c r="N20" s="327"/>
      <c r="O20" s="339">
        <v>547</v>
      </c>
    </row>
    <row r="21" spans="1:15" x14ac:dyDescent="0.25">
      <c r="A21" s="341">
        <f t="shared" si="0"/>
        <v>45005</v>
      </c>
      <c r="B21" s="356" t="str">
        <f>TEXT(A21,"ddd")</f>
        <v>Mon</v>
      </c>
      <c r="C21" s="322">
        <f>TRANSPOSE(Pool!C24:AG24)</f>
        <v>0</v>
      </c>
      <c r="D21" s="322">
        <v>0</v>
      </c>
      <c r="E21" s="322">
        <v>34</v>
      </c>
      <c r="F21" s="322">
        <v>206.29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96</v>
      </c>
      <c r="L21" s="332">
        <v>80</v>
      </c>
      <c r="M21" s="335" t="str">
        <v>closed</v>
      </c>
      <c r="N21" s="327"/>
      <c r="O21" s="339">
        <v>254</v>
      </c>
    </row>
    <row r="22" spans="1:15" x14ac:dyDescent="0.25">
      <c r="A22" s="341">
        <f t="shared" si="0"/>
        <v>45006</v>
      </c>
      <c r="B22" s="356" t="str">
        <f>TEXT(A22,"DDD")</f>
        <v>Tue</v>
      </c>
      <c r="C22" s="322">
        <f>TRANSPOSE(Pool!C25:AG25)</f>
        <v>0</v>
      </c>
      <c r="D22" s="322">
        <v>0</v>
      </c>
      <c r="E22" s="322">
        <v>4</v>
      </c>
      <c r="F22" s="322">
        <v>47.98</v>
      </c>
      <c r="G22" s="322">
        <v>0</v>
      </c>
      <c r="H22" s="322">
        <f>TRANSPOSE(Pool!C38:AG38)</f>
        <v>0</v>
      </c>
      <c r="I22" s="325">
        <v>0</v>
      </c>
      <c r="J22" s="327"/>
      <c r="K22" s="329" t="str">
        <v>closed</v>
      </c>
      <c r="L22" s="332" t="str">
        <v>closed</v>
      </c>
      <c r="M22" s="335" t="str">
        <v>closed</v>
      </c>
      <c r="N22" s="327"/>
      <c r="O22" s="339">
        <v>54</v>
      </c>
    </row>
    <row r="23" spans="1:15" x14ac:dyDescent="0.25">
      <c r="A23" s="341">
        <f t="shared" si="0"/>
        <v>45007</v>
      </c>
      <c r="B23" s="356" t="str">
        <f>TEXT(A23,"ddd")</f>
        <v>Wed</v>
      </c>
      <c r="C23" s="322">
        <f>TRANSPOSE(Pool!C26:AG26)</f>
        <v>0</v>
      </c>
      <c r="D23" s="322">
        <v>0</v>
      </c>
      <c r="E23" s="322">
        <v>34</v>
      </c>
      <c r="F23" s="322">
        <v>164.51</v>
      </c>
      <c r="G23" s="322">
        <v>0</v>
      </c>
      <c r="H23" s="322">
        <f>TRANSPOSE(Pool!C39:AG39)</f>
        <v>1222.56</v>
      </c>
      <c r="I23" s="325">
        <v>90</v>
      </c>
      <c r="J23" s="327"/>
      <c r="K23" s="329" t="str">
        <v>closed</v>
      </c>
      <c r="L23" s="332" t="str">
        <v>closed</v>
      </c>
      <c r="M23" s="335" t="str">
        <v>closed</v>
      </c>
      <c r="N23" s="327"/>
      <c r="O23" s="339">
        <v>222</v>
      </c>
    </row>
    <row r="24" spans="1:15" x14ac:dyDescent="0.25">
      <c r="A24" s="341">
        <f t="shared" si="0"/>
        <v>45008</v>
      </c>
      <c r="B24" s="356" t="str">
        <f>TEXT(A24,"DDD")</f>
        <v>Thu</v>
      </c>
      <c r="C24" s="322">
        <f>TRANSPOSE(Pool!C27:AG27)</f>
        <v>0</v>
      </c>
      <c r="D24" s="322">
        <v>0</v>
      </c>
      <c r="E24" s="322">
        <v>0</v>
      </c>
      <c r="F24" s="322">
        <v>182.18</v>
      </c>
      <c r="G24" s="322">
        <v>0</v>
      </c>
      <c r="H24" s="322">
        <f>TRANSPOSE(Pool!C40:AG40)</f>
        <v>1222.56</v>
      </c>
      <c r="I24" s="325">
        <v>0</v>
      </c>
      <c r="J24" s="327"/>
      <c r="K24" s="329" t="str">
        <v>closed</v>
      </c>
      <c r="L24" s="332" t="str">
        <v>closed</v>
      </c>
      <c r="M24" s="335" t="str">
        <v>closed</v>
      </c>
      <c r="N24" s="327"/>
      <c r="O24" s="339">
        <v>278</v>
      </c>
    </row>
    <row r="25" spans="1:15" x14ac:dyDescent="0.25">
      <c r="A25" s="341">
        <f t="shared" si="0"/>
        <v>45009</v>
      </c>
      <c r="B25" s="356" t="str">
        <f>TEXT(A25,"ddd")</f>
        <v>Fri</v>
      </c>
      <c r="C25" s="322">
        <f>TRANSPOSE(Pool!C28:AG28)</f>
        <v>0</v>
      </c>
      <c r="D25" s="322">
        <v>0</v>
      </c>
      <c r="E25" s="322">
        <v>29</v>
      </c>
      <c r="F25" s="322">
        <v>203.85</v>
      </c>
      <c r="G25" s="322">
        <v>0</v>
      </c>
      <c r="H25" s="322">
        <f>TRANSPOSE(Pool!C41:AG41)</f>
        <v>0</v>
      </c>
      <c r="I25" s="325">
        <v>0</v>
      </c>
      <c r="J25" s="327"/>
      <c r="K25" s="329">
        <v>94</v>
      </c>
      <c r="L25" s="332" t="str">
        <v>closed</v>
      </c>
      <c r="M25" s="335" t="str">
        <v>closed</v>
      </c>
      <c r="N25" s="327"/>
      <c r="O25" s="339">
        <v>305</v>
      </c>
    </row>
    <row r="26" spans="1:15" x14ac:dyDescent="0.25">
      <c r="A26" s="341">
        <f t="shared" si="0"/>
        <v>45010</v>
      </c>
      <c r="B26" s="356" t="str">
        <f>TEXT(A26,"DDD")</f>
        <v>Sat</v>
      </c>
      <c r="C26" s="322">
        <f>TRANSPOSE(Pool!C29:AG29)</f>
        <v>1665.34</v>
      </c>
      <c r="D26" s="322">
        <v>0</v>
      </c>
      <c r="E26" s="322">
        <v>0</v>
      </c>
      <c r="F26" s="322">
        <v>444.21</v>
      </c>
      <c r="G26" s="322">
        <v>0</v>
      </c>
      <c r="H26" s="322">
        <f>TRANSPOSE(Pool!C42:AG42)</f>
        <v>0</v>
      </c>
      <c r="I26" s="325">
        <v>90</v>
      </c>
      <c r="J26" s="327"/>
      <c r="K26" s="329">
        <v>94</v>
      </c>
      <c r="L26" s="332">
        <v>80</v>
      </c>
      <c r="M26" s="335" t="str">
        <v>closed</v>
      </c>
      <c r="N26" s="327"/>
      <c r="O26" s="339">
        <v>394</v>
      </c>
    </row>
    <row r="27" spans="1:15" x14ac:dyDescent="0.25">
      <c r="A27" s="341">
        <f t="shared" si="0"/>
        <v>45011</v>
      </c>
      <c r="B27" s="356" t="str">
        <f>TEXT(A27,"ddd")</f>
        <v>Sun</v>
      </c>
      <c r="C27" s="322">
        <f>TRANSPOSE(Pool!C30:AG30)</f>
        <v>1665.34</v>
      </c>
      <c r="D27" s="322">
        <v>0</v>
      </c>
      <c r="E27" s="322">
        <v>0</v>
      </c>
      <c r="F27" s="322">
        <v>401.35</v>
      </c>
      <c r="G27" s="322">
        <v>0</v>
      </c>
      <c r="H27" s="322">
        <f>TRANSPOSE(Pool!C43:AG43)</f>
        <v>0</v>
      </c>
      <c r="I27" s="325">
        <v>0</v>
      </c>
      <c r="J27" s="327"/>
      <c r="K27" s="329">
        <v>95</v>
      </c>
      <c r="L27" s="332">
        <v>80</v>
      </c>
      <c r="M27" s="335" t="str">
        <v>closed</v>
      </c>
      <c r="N27" s="327"/>
      <c r="O27" s="339">
        <v>395</v>
      </c>
    </row>
    <row r="28" spans="1:15" x14ac:dyDescent="0.25">
      <c r="A28" s="341">
        <f t="shared" si="0"/>
        <v>45012</v>
      </c>
      <c r="B28" s="356" t="str">
        <f>TEXT(A28,"DDD")</f>
        <v>Mon</v>
      </c>
      <c r="C28" s="322">
        <f>TRANSPOSE(Pool!C31:AG31)</f>
        <v>0</v>
      </c>
      <c r="D28" s="322">
        <v>0</v>
      </c>
      <c r="E28" s="322">
        <v>80</v>
      </c>
      <c r="F28" s="322">
        <v>181.4</v>
      </c>
      <c r="G28" s="322">
        <v>0</v>
      </c>
      <c r="H28" s="322">
        <f>TRANSPOSE(Pool!C44:AG44)</f>
        <v>0</v>
      </c>
      <c r="I28" s="325">
        <v>0</v>
      </c>
      <c r="J28" s="327"/>
      <c r="K28" s="329" t="str">
        <v>closed</v>
      </c>
      <c r="L28" s="332">
        <v>80</v>
      </c>
      <c r="M28" s="335">
        <v>74</v>
      </c>
      <c r="N28" s="327"/>
      <c r="O28" s="339">
        <v>192</v>
      </c>
    </row>
    <row r="29" spans="1:15" x14ac:dyDescent="0.25">
      <c r="A29" s="341">
        <f t="shared" si="0"/>
        <v>45013</v>
      </c>
      <c r="B29" s="356" t="str">
        <f>TEXT(A29,"ddd")</f>
        <v>Tue</v>
      </c>
      <c r="C29" s="322">
        <f>TRANSPOSE(Pool!C32:AG32)</f>
        <v>0</v>
      </c>
      <c r="D29" s="322">
        <v>0</v>
      </c>
      <c r="E29" s="322">
        <v>0</v>
      </c>
      <c r="F29" s="322">
        <v>40.67</v>
      </c>
      <c r="G29" s="322">
        <v>0</v>
      </c>
      <c r="H29" s="322">
        <f>TRANSPOSE(Pool!C45:AG45)</f>
        <v>30.93</v>
      </c>
      <c r="I29" s="325">
        <v>0</v>
      </c>
      <c r="J29" s="327"/>
      <c r="K29" s="329" t="str">
        <v>closed</v>
      </c>
      <c r="L29" s="332" t="str">
        <v>closed</v>
      </c>
      <c r="M29" s="335" t="str">
        <v>closed</v>
      </c>
      <c r="N29" s="327"/>
      <c r="O29" s="339">
        <v>58</v>
      </c>
    </row>
    <row r="30" spans="1:15" x14ac:dyDescent="0.25">
      <c r="A30" s="341">
        <f t="shared" si="0"/>
        <v>45014</v>
      </c>
      <c r="B30" s="356" t="str">
        <f>TEXT(A30,"ddd")</f>
        <v>Wed</v>
      </c>
      <c r="C30" s="322">
        <f>TRANSPOSE(Pool!C33:AG33)</f>
        <v>122.02</v>
      </c>
      <c r="D30" s="322">
        <v>0</v>
      </c>
      <c r="E30" s="322">
        <v>29</v>
      </c>
      <c r="F30" s="322">
        <v>207.08</v>
      </c>
      <c r="G30" s="322">
        <v>0</v>
      </c>
      <c r="H30" s="322">
        <f>TRANSPOSE(Pool!C46:AG46)</f>
        <v>999.61</v>
      </c>
      <c r="I30" s="325">
        <v>0</v>
      </c>
      <c r="J30" s="327"/>
      <c r="K30" s="329" t="str">
        <v>closed</v>
      </c>
      <c r="L30" s="332" t="str">
        <v>closed</v>
      </c>
      <c r="M30" s="335">
        <v>74</v>
      </c>
      <c r="N30" s="327"/>
      <c r="O30" s="339">
        <v>271</v>
      </c>
    </row>
    <row r="31" spans="1:15" x14ac:dyDescent="0.25">
      <c r="A31" s="341">
        <f t="shared" si="0"/>
        <v>45015</v>
      </c>
      <c r="B31" s="356" t="str">
        <f>TEXT(A31,"ddd")</f>
        <v>Thu</v>
      </c>
      <c r="C31" s="322">
        <f>TRANSPOSE(Pool!C34:AG34)</f>
        <v>1543.32</v>
      </c>
      <c r="D31" s="322">
        <v>0</v>
      </c>
      <c r="E31" s="322">
        <v>0</v>
      </c>
      <c r="F31" s="322">
        <v>52.11</v>
      </c>
      <c r="G31" s="322">
        <v>0</v>
      </c>
      <c r="H31" s="322">
        <f>TRANSPOSE(Pool!C47:AG47)</f>
        <v>81</v>
      </c>
      <c r="I31" s="325">
        <v>0</v>
      </c>
      <c r="J31" s="327"/>
      <c r="K31" s="329" t="str">
        <v>closed</v>
      </c>
      <c r="L31" s="332" t="str">
        <v>closed</v>
      </c>
      <c r="M31" s="335" t="str">
        <v>closed</v>
      </c>
      <c r="N31" s="327"/>
      <c r="O31" s="339">
        <v>75</v>
      </c>
    </row>
    <row r="32" spans="1:15" ht="15.75" thickBot="1" x14ac:dyDescent="0.3">
      <c r="A32" s="342">
        <f t="shared" si="0"/>
        <v>45016</v>
      </c>
      <c r="B32" s="357" t="str">
        <f>TEXT(A32,"ddd")</f>
        <v>Fri</v>
      </c>
      <c r="C32" s="323">
        <f>TRANSPOSE(Pool!C35:AG35)</f>
        <v>0</v>
      </c>
      <c r="D32" s="323">
        <v>0</v>
      </c>
      <c r="E32" s="323">
        <v>10</v>
      </c>
      <c r="F32" s="323">
        <v>243.53</v>
      </c>
      <c r="G32" s="323">
        <v>0</v>
      </c>
      <c r="H32" s="323">
        <f>TRANSPOSE(Pool!C48:AG48)</f>
        <v>25</v>
      </c>
      <c r="I32" s="326">
        <v>0</v>
      </c>
      <c r="J32" s="327"/>
      <c r="K32" s="330">
        <v>96</v>
      </c>
      <c r="L32" s="333" t="str">
        <v>closed</v>
      </c>
      <c r="M32" s="337" t="str">
        <v>closed</v>
      </c>
      <c r="N32" s="327"/>
      <c r="O32" s="340">
        <v>263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6644.27</v>
      </c>
      <c r="D34" s="345">
        <f t="shared" si="1"/>
        <v>0</v>
      </c>
      <c r="E34" s="345">
        <f t="shared" si="1"/>
        <v>524</v>
      </c>
      <c r="F34" s="345">
        <f t="shared" si="1"/>
        <v>6209.3499999999995</v>
      </c>
      <c r="G34" s="345">
        <f t="shared" si="1"/>
        <v>0</v>
      </c>
      <c r="H34" s="345">
        <f t="shared" si="1"/>
        <v>7249.3399999999992</v>
      </c>
      <c r="I34" s="346">
        <f t="shared" si="1"/>
        <v>270</v>
      </c>
      <c r="J34" s="60"/>
      <c r="K34" s="347">
        <f>Pool!AJ57</f>
        <v>94.058823529411768</v>
      </c>
      <c r="L34" s="348">
        <f>Pool!AJ58</f>
        <v>80</v>
      </c>
      <c r="M34" s="349">
        <f>Pool!AJ59</f>
        <v>74</v>
      </c>
      <c r="N34" s="102"/>
      <c r="O34" s="350">
        <f>SUM(O2:O33)</f>
        <v>7148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March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44986</v>
      </c>
      <c r="D2" s="106">
        <f t="shared" ref="D2:AG2" si="0">C2+1</f>
        <v>44987</v>
      </c>
      <c r="E2" s="106">
        <f t="shared" si="0"/>
        <v>44988</v>
      </c>
      <c r="F2" s="106">
        <f t="shared" si="0"/>
        <v>44989</v>
      </c>
      <c r="G2" s="106">
        <f t="shared" si="0"/>
        <v>44990</v>
      </c>
      <c r="H2" s="106">
        <f t="shared" si="0"/>
        <v>44991</v>
      </c>
      <c r="I2" s="106">
        <f t="shared" si="0"/>
        <v>44992</v>
      </c>
      <c r="J2" s="106">
        <f t="shared" si="0"/>
        <v>44993</v>
      </c>
      <c r="K2" s="106">
        <f t="shared" si="0"/>
        <v>44994</v>
      </c>
      <c r="L2" s="106">
        <f t="shared" si="0"/>
        <v>44995</v>
      </c>
      <c r="M2" s="106">
        <f t="shared" si="0"/>
        <v>44996</v>
      </c>
      <c r="N2" s="106">
        <f t="shared" si="0"/>
        <v>44997</v>
      </c>
      <c r="O2" s="106">
        <f t="shared" si="0"/>
        <v>44998</v>
      </c>
      <c r="P2" s="106">
        <f t="shared" si="0"/>
        <v>44999</v>
      </c>
      <c r="Q2" s="106">
        <f t="shared" si="0"/>
        <v>45000</v>
      </c>
      <c r="R2" s="106">
        <f t="shared" si="0"/>
        <v>45001</v>
      </c>
      <c r="S2" s="106">
        <f t="shared" si="0"/>
        <v>45002</v>
      </c>
      <c r="T2" s="106">
        <f t="shared" si="0"/>
        <v>45003</v>
      </c>
      <c r="U2" s="106">
        <f t="shared" si="0"/>
        <v>45004</v>
      </c>
      <c r="V2" s="106">
        <f t="shared" si="0"/>
        <v>45005</v>
      </c>
      <c r="W2" s="106">
        <f t="shared" si="0"/>
        <v>45006</v>
      </c>
      <c r="X2" s="106">
        <f t="shared" si="0"/>
        <v>45007</v>
      </c>
      <c r="Y2" s="106">
        <f t="shared" si="0"/>
        <v>45008</v>
      </c>
      <c r="Z2" s="106">
        <f t="shared" si="0"/>
        <v>45009</v>
      </c>
      <c r="AA2" s="106">
        <f t="shared" si="0"/>
        <v>45010</v>
      </c>
      <c r="AB2" s="106">
        <f t="shared" si="0"/>
        <v>45011</v>
      </c>
      <c r="AC2" s="106">
        <f t="shared" si="0"/>
        <v>45012</v>
      </c>
      <c r="AD2" s="106">
        <f t="shared" si="0"/>
        <v>45013</v>
      </c>
      <c r="AE2" s="106">
        <f t="shared" si="0"/>
        <v>45014</v>
      </c>
      <c r="AF2" s="106">
        <f t="shared" si="0"/>
        <v>45015</v>
      </c>
      <c r="AG2" s="106">
        <f t="shared" si="0"/>
        <v>45016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0" t="s">
        <v>127</v>
      </c>
      <c r="AK17" s="511"/>
      <c r="AL17" s="511"/>
      <c r="AM17" s="512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459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60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460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60"/>
      <c r="AH21" s="418">
        <f t="shared" si="5"/>
        <v>0</v>
      </c>
      <c r="AJ21" s="129" t="s">
        <v>60</v>
      </c>
      <c r="AK21" s="130" t="s">
        <v>202</v>
      </c>
      <c r="AL21" s="290">
        <f>SUM(C20:AD21)-SUM(C29:AD29)</f>
        <v>0</v>
      </c>
      <c r="AM21" s="291">
        <f>SUM(AE20:AG21)-SUM(AE29:AG29)</f>
        <v>0</v>
      </c>
    </row>
    <row r="22" spans="1:40" ht="15.75" x14ac:dyDescent="0.25">
      <c r="A22" s="368" t="s">
        <v>60</v>
      </c>
      <c r="B22" s="463" t="s">
        <v>204</v>
      </c>
      <c r="C22" s="464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67"/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6">
        <f>SUM(C18:C23)</f>
        <v>0</v>
      </c>
      <c r="D24" s="477">
        <f t="shared" ref="D24:AG24" si="6">SUM(D18:D23)</f>
        <v>0</v>
      </c>
      <c r="E24" s="477">
        <f t="shared" si="6"/>
        <v>0</v>
      </c>
      <c r="F24" s="477">
        <f t="shared" si="6"/>
        <v>0</v>
      </c>
      <c r="G24" s="477">
        <f t="shared" si="6"/>
        <v>0</v>
      </c>
      <c r="H24" s="477">
        <f t="shared" si="6"/>
        <v>0</v>
      </c>
      <c r="I24" s="477">
        <f t="shared" si="6"/>
        <v>0</v>
      </c>
      <c r="J24" s="477">
        <f t="shared" si="6"/>
        <v>0</v>
      </c>
      <c r="K24" s="477">
        <f t="shared" si="6"/>
        <v>0</v>
      </c>
      <c r="L24" s="477">
        <f t="shared" si="6"/>
        <v>0</v>
      </c>
      <c r="M24" s="477">
        <f t="shared" si="6"/>
        <v>0</v>
      </c>
      <c r="N24" s="477">
        <f t="shared" si="6"/>
        <v>0</v>
      </c>
      <c r="O24" s="477">
        <f t="shared" si="6"/>
        <v>0</v>
      </c>
      <c r="P24" s="477">
        <f t="shared" si="6"/>
        <v>0</v>
      </c>
      <c r="Q24" s="477">
        <f t="shared" si="6"/>
        <v>0</v>
      </c>
      <c r="R24" s="477">
        <f t="shared" si="6"/>
        <v>0</v>
      </c>
      <c r="S24" s="477">
        <f t="shared" si="6"/>
        <v>0</v>
      </c>
      <c r="T24" s="477">
        <f t="shared" si="6"/>
        <v>0</v>
      </c>
      <c r="U24" s="477">
        <f t="shared" si="6"/>
        <v>0</v>
      </c>
      <c r="V24" s="477">
        <f t="shared" si="6"/>
        <v>0</v>
      </c>
      <c r="W24" s="477">
        <f t="shared" si="6"/>
        <v>0</v>
      </c>
      <c r="X24" s="477">
        <f t="shared" si="6"/>
        <v>0</v>
      </c>
      <c r="Y24" s="477">
        <f t="shared" si="6"/>
        <v>0</v>
      </c>
      <c r="Z24" s="477">
        <f t="shared" si="6"/>
        <v>0</v>
      </c>
      <c r="AA24" s="477">
        <f t="shared" si="6"/>
        <v>0</v>
      </c>
      <c r="AB24" s="477">
        <f t="shared" si="6"/>
        <v>0</v>
      </c>
      <c r="AC24" s="477">
        <f t="shared" si="6"/>
        <v>0</v>
      </c>
      <c r="AD24" s="477">
        <f t="shared" si="6"/>
        <v>0</v>
      </c>
      <c r="AE24" s="477">
        <f t="shared" si="6"/>
        <v>0</v>
      </c>
      <c r="AF24" s="477">
        <f t="shared" si="6"/>
        <v>0</v>
      </c>
      <c r="AG24" s="478">
        <f t="shared" si="6"/>
        <v>0</v>
      </c>
      <c r="AH24" s="462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9" t="s">
        <v>76</v>
      </c>
      <c r="AK25" s="513"/>
      <c r="AL25" s="514">
        <f>SUM(AL20:AM24)</f>
        <v>0</v>
      </c>
      <c r="AM25" s="515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 t="shared" ref="C26:AG26" si="7">SUM(C3:C7)-(C18+C20)</f>
        <v>0</v>
      </c>
      <c r="D26" s="414">
        <f t="shared" si="7"/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 t="shared" ref="C27:AG27" si="8">SUM(C9:C13)-(C19+C21)</f>
        <v>0</v>
      </c>
      <c r="D27" s="412">
        <f t="shared" si="8"/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8" t="s">
        <v>57</v>
      </c>
      <c r="AK31" s="509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9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9"/>
        <v>0</v>
      </c>
      <c r="AJ33" s="257">
        <f t="shared" ref="AJ33:AJ37" si="10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9"/>
        <v>0</v>
      </c>
      <c r="AJ34" s="257">
        <f t="shared" si="10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9"/>
        <v>0</v>
      </c>
      <c r="AJ35" s="257">
        <f t="shared" si="10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9"/>
        <v>0</v>
      </c>
      <c r="AJ36" s="257">
        <f t="shared" si="10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9"/>
        <v>0</v>
      </c>
      <c r="AJ37" s="257">
        <f t="shared" si="10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1">SUM(C32:C37)</f>
        <v>0</v>
      </c>
      <c r="D38" s="442">
        <f t="shared" si="11"/>
        <v>0</v>
      </c>
      <c r="E38" s="442">
        <f t="shared" si="11"/>
        <v>0</v>
      </c>
      <c r="F38" s="442">
        <f t="shared" si="11"/>
        <v>0</v>
      </c>
      <c r="G38" s="442">
        <f t="shared" si="11"/>
        <v>0</v>
      </c>
      <c r="H38" s="442">
        <f t="shared" si="11"/>
        <v>0</v>
      </c>
      <c r="I38" s="442">
        <f t="shared" si="11"/>
        <v>0</v>
      </c>
      <c r="J38" s="442">
        <f t="shared" si="11"/>
        <v>0</v>
      </c>
      <c r="K38" s="442">
        <f t="shared" si="11"/>
        <v>0</v>
      </c>
      <c r="L38" s="442">
        <f t="shared" si="11"/>
        <v>0</v>
      </c>
      <c r="M38" s="442">
        <f t="shared" si="11"/>
        <v>0</v>
      </c>
      <c r="N38" s="442">
        <f t="shared" si="11"/>
        <v>0</v>
      </c>
      <c r="O38" s="442">
        <f t="shared" si="11"/>
        <v>0</v>
      </c>
      <c r="P38" s="442">
        <f t="shared" si="11"/>
        <v>0</v>
      </c>
      <c r="Q38" s="442">
        <f t="shared" si="11"/>
        <v>0</v>
      </c>
      <c r="R38" s="442">
        <f t="shared" si="11"/>
        <v>0</v>
      </c>
      <c r="S38" s="442">
        <f t="shared" si="11"/>
        <v>0</v>
      </c>
      <c r="T38" s="442">
        <f t="shared" si="11"/>
        <v>0</v>
      </c>
      <c r="U38" s="442">
        <f t="shared" si="11"/>
        <v>0</v>
      </c>
      <c r="V38" s="442">
        <f t="shared" si="11"/>
        <v>0</v>
      </c>
      <c r="W38" s="442">
        <f t="shared" si="11"/>
        <v>0</v>
      </c>
      <c r="X38" s="442">
        <f t="shared" si="11"/>
        <v>0</v>
      </c>
      <c r="Y38" s="442">
        <f t="shared" si="11"/>
        <v>0</v>
      </c>
      <c r="Z38" s="442">
        <f t="shared" si="11"/>
        <v>0</v>
      </c>
      <c r="AA38" s="442">
        <f t="shared" si="11"/>
        <v>0</v>
      </c>
      <c r="AB38" s="442">
        <f t="shared" si="11"/>
        <v>0</v>
      </c>
      <c r="AC38" s="442">
        <f t="shared" si="11"/>
        <v>0</v>
      </c>
      <c r="AD38" s="442">
        <f t="shared" si="11"/>
        <v>0</v>
      </c>
      <c r="AE38" s="442">
        <f t="shared" si="11"/>
        <v>0</v>
      </c>
      <c r="AF38" s="442">
        <f t="shared" si="11"/>
        <v>0</v>
      </c>
      <c r="AG38" s="443">
        <f t="shared" si="11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9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9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9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2">SUM(C39:C44)</f>
        <v>0</v>
      </c>
      <c r="D45" s="441">
        <f t="shared" si="12"/>
        <v>0</v>
      </c>
      <c r="E45" s="441">
        <f t="shared" si="12"/>
        <v>0</v>
      </c>
      <c r="F45" s="441">
        <f t="shared" si="12"/>
        <v>0</v>
      </c>
      <c r="G45" s="441">
        <f t="shared" si="12"/>
        <v>0</v>
      </c>
      <c r="H45" s="441">
        <f t="shared" si="12"/>
        <v>0</v>
      </c>
      <c r="I45" s="441">
        <f t="shared" si="12"/>
        <v>0</v>
      </c>
      <c r="J45" s="441">
        <f t="shared" si="12"/>
        <v>0</v>
      </c>
      <c r="K45" s="441">
        <f t="shared" si="12"/>
        <v>0</v>
      </c>
      <c r="L45" s="441">
        <f t="shared" si="12"/>
        <v>0</v>
      </c>
      <c r="M45" s="441">
        <f t="shared" si="12"/>
        <v>0</v>
      </c>
      <c r="N45" s="441">
        <f t="shared" si="12"/>
        <v>0</v>
      </c>
      <c r="O45" s="441">
        <f t="shared" si="12"/>
        <v>0</v>
      </c>
      <c r="P45" s="441">
        <f t="shared" si="12"/>
        <v>0</v>
      </c>
      <c r="Q45" s="441">
        <f t="shared" si="12"/>
        <v>0</v>
      </c>
      <c r="R45" s="441">
        <f t="shared" si="12"/>
        <v>0</v>
      </c>
      <c r="S45" s="441">
        <f t="shared" si="12"/>
        <v>0</v>
      </c>
      <c r="T45" s="441">
        <f t="shared" si="12"/>
        <v>0</v>
      </c>
      <c r="U45" s="441">
        <f t="shared" si="12"/>
        <v>0</v>
      </c>
      <c r="V45" s="441">
        <f t="shared" si="12"/>
        <v>0</v>
      </c>
      <c r="W45" s="441">
        <f t="shared" si="12"/>
        <v>0</v>
      </c>
      <c r="X45" s="441">
        <f t="shared" si="12"/>
        <v>0</v>
      </c>
      <c r="Y45" s="441">
        <f t="shared" si="12"/>
        <v>0</v>
      </c>
      <c r="Z45" s="441">
        <f t="shared" si="12"/>
        <v>0</v>
      </c>
      <c r="AA45" s="441">
        <f t="shared" si="12"/>
        <v>0</v>
      </c>
      <c r="AB45" s="441">
        <f t="shared" si="12"/>
        <v>0</v>
      </c>
      <c r="AC45" s="441">
        <f t="shared" si="12"/>
        <v>0</v>
      </c>
      <c r="AD45" s="441">
        <f t="shared" si="12"/>
        <v>0</v>
      </c>
      <c r="AE45" s="441">
        <f t="shared" si="12"/>
        <v>0</v>
      </c>
      <c r="AF45" s="441">
        <f t="shared" si="12"/>
        <v>0</v>
      </c>
      <c r="AG45" s="443">
        <f t="shared" si="12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0</v>
      </c>
      <c r="D46" s="147">
        <f t="shared" si="13"/>
        <v>0</v>
      </c>
      <c r="E46" s="147">
        <f t="shared" si="13"/>
        <v>0</v>
      </c>
      <c r="F46" s="147">
        <f t="shared" si="13"/>
        <v>0</v>
      </c>
      <c r="G46" s="147">
        <f t="shared" si="13"/>
        <v>0</v>
      </c>
      <c r="H46" s="147">
        <f t="shared" si="13"/>
        <v>0</v>
      </c>
      <c r="I46" s="147">
        <f t="shared" si="13"/>
        <v>0</v>
      </c>
      <c r="J46" s="147">
        <f t="shared" si="13"/>
        <v>0</v>
      </c>
      <c r="K46" s="147">
        <f t="shared" si="13"/>
        <v>0</v>
      </c>
      <c r="L46" s="147">
        <f t="shared" si="13"/>
        <v>0</v>
      </c>
      <c r="M46" s="147">
        <f t="shared" si="13"/>
        <v>0</v>
      </c>
      <c r="N46" s="147">
        <f t="shared" si="13"/>
        <v>0</v>
      </c>
      <c r="O46" s="147">
        <f t="shared" si="13"/>
        <v>0</v>
      </c>
      <c r="P46" s="147">
        <f t="shared" si="13"/>
        <v>0</v>
      </c>
      <c r="Q46" s="147">
        <f t="shared" si="13"/>
        <v>0</v>
      </c>
      <c r="R46" s="147">
        <f t="shared" si="13"/>
        <v>0</v>
      </c>
      <c r="S46" s="147">
        <f t="shared" si="13"/>
        <v>0</v>
      </c>
      <c r="T46" s="147">
        <f t="shared" si="13"/>
        <v>0</v>
      </c>
      <c r="U46" s="147">
        <f t="shared" si="13"/>
        <v>0</v>
      </c>
      <c r="V46" s="147">
        <f t="shared" si="13"/>
        <v>0</v>
      </c>
      <c r="W46" s="147">
        <f t="shared" si="13"/>
        <v>0</v>
      </c>
      <c r="X46" s="147">
        <f t="shared" si="13"/>
        <v>0</v>
      </c>
      <c r="Y46" s="147">
        <f t="shared" si="13"/>
        <v>0</v>
      </c>
      <c r="Z46" s="147">
        <f t="shared" si="13"/>
        <v>0</v>
      </c>
      <c r="AA46" s="147">
        <f t="shared" si="13"/>
        <v>0</v>
      </c>
      <c r="AB46" s="147">
        <f t="shared" si="13"/>
        <v>0</v>
      </c>
      <c r="AC46" s="147">
        <f t="shared" si="13"/>
        <v>0</v>
      </c>
      <c r="AD46" s="147">
        <f t="shared" si="13"/>
        <v>0</v>
      </c>
      <c r="AE46" s="147">
        <f t="shared" si="13"/>
        <v>0</v>
      </c>
      <c r="AF46" s="147">
        <f t="shared" si="13"/>
        <v>0</v>
      </c>
      <c r="AG46" s="262">
        <f t="shared" si="13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L24" sqref="AL24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March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44986</v>
      </c>
      <c r="D2" s="106">
        <f>C2+1</f>
        <v>44987</v>
      </c>
      <c r="E2" s="106">
        <f>D2+1</f>
        <v>44988</v>
      </c>
      <c r="F2" s="106">
        <f t="shared" ref="F2:AG2" si="0">E2+1</f>
        <v>44989</v>
      </c>
      <c r="G2" s="106">
        <f t="shared" si="0"/>
        <v>44990</v>
      </c>
      <c r="H2" s="106">
        <f t="shared" si="0"/>
        <v>44991</v>
      </c>
      <c r="I2" s="106">
        <f t="shared" si="0"/>
        <v>44992</v>
      </c>
      <c r="J2" s="106">
        <f t="shared" si="0"/>
        <v>44993</v>
      </c>
      <c r="K2" s="106">
        <f t="shared" si="0"/>
        <v>44994</v>
      </c>
      <c r="L2" s="106">
        <f t="shared" si="0"/>
        <v>44995</v>
      </c>
      <c r="M2" s="106">
        <f t="shared" si="0"/>
        <v>44996</v>
      </c>
      <c r="N2" s="106">
        <f t="shared" si="0"/>
        <v>44997</v>
      </c>
      <c r="O2" s="106">
        <f t="shared" si="0"/>
        <v>44998</v>
      </c>
      <c r="P2" s="106">
        <f t="shared" si="0"/>
        <v>44999</v>
      </c>
      <c r="Q2" s="106">
        <f t="shared" si="0"/>
        <v>45000</v>
      </c>
      <c r="R2" s="106">
        <f t="shared" si="0"/>
        <v>45001</v>
      </c>
      <c r="S2" s="106">
        <f t="shared" si="0"/>
        <v>45002</v>
      </c>
      <c r="T2" s="106">
        <f t="shared" si="0"/>
        <v>45003</v>
      </c>
      <c r="U2" s="106">
        <f t="shared" si="0"/>
        <v>45004</v>
      </c>
      <c r="V2" s="106">
        <f t="shared" si="0"/>
        <v>45005</v>
      </c>
      <c r="W2" s="106">
        <f t="shared" si="0"/>
        <v>45006</v>
      </c>
      <c r="X2" s="106">
        <f t="shared" si="0"/>
        <v>45007</v>
      </c>
      <c r="Y2" s="106">
        <f t="shared" si="0"/>
        <v>45008</v>
      </c>
      <c r="Z2" s="106">
        <f t="shared" si="0"/>
        <v>45009</v>
      </c>
      <c r="AA2" s="106">
        <f t="shared" si="0"/>
        <v>45010</v>
      </c>
      <c r="AB2" s="106">
        <f t="shared" si="0"/>
        <v>45011</v>
      </c>
      <c r="AC2" s="106">
        <f t="shared" si="0"/>
        <v>45012</v>
      </c>
      <c r="AD2" s="106">
        <f t="shared" si="0"/>
        <v>45013</v>
      </c>
      <c r="AE2" s="106">
        <f t="shared" si="0"/>
        <v>45014</v>
      </c>
      <c r="AF2" s="106">
        <f t="shared" si="0"/>
        <v>45015</v>
      </c>
      <c r="AG2" s="106">
        <f t="shared" si="0"/>
        <v>45016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0.28000000000000003</v>
      </c>
      <c r="D3" s="185"/>
      <c r="E3" s="185">
        <v>1.18</v>
      </c>
      <c r="F3" s="185">
        <v>2.35</v>
      </c>
      <c r="G3" s="185"/>
      <c r="H3" s="185">
        <v>4.92</v>
      </c>
      <c r="I3" s="185"/>
      <c r="J3" s="185">
        <v>1.18</v>
      </c>
      <c r="K3" s="185">
        <v>1.88</v>
      </c>
      <c r="L3" s="185">
        <v>0.09</v>
      </c>
      <c r="M3" s="185">
        <v>0.28000000000000003</v>
      </c>
      <c r="N3" s="185">
        <v>2.36</v>
      </c>
      <c r="O3" s="185"/>
      <c r="P3" s="185">
        <v>4.8600000000000003</v>
      </c>
      <c r="Q3" s="185"/>
      <c r="R3" s="185">
        <v>2.7</v>
      </c>
      <c r="S3" s="185"/>
      <c r="T3" s="185"/>
      <c r="U3" s="185">
        <v>0.76</v>
      </c>
      <c r="V3" s="185">
        <v>1.5</v>
      </c>
      <c r="W3" s="185">
        <v>1.42</v>
      </c>
      <c r="X3" s="185"/>
      <c r="Y3" s="185">
        <v>2.62</v>
      </c>
      <c r="Z3" s="185">
        <v>0.38</v>
      </c>
      <c r="AA3" s="185">
        <v>4.25</v>
      </c>
      <c r="AB3" s="185"/>
      <c r="AC3" s="185"/>
      <c r="AD3" s="185">
        <v>2.0699999999999998</v>
      </c>
      <c r="AE3" s="185">
        <v>0.28000000000000003</v>
      </c>
      <c r="AF3" s="185"/>
      <c r="AG3" s="185">
        <v>2.3199999999999998</v>
      </c>
      <c r="AH3" s="108">
        <f>SUM(C3:AG3)</f>
        <v>37.68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>
        <v>2.99</v>
      </c>
      <c r="D4" s="72"/>
      <c r="E4" s="71">
        <v>12.5</v>
      </c>
      <c r="F4" s="71">
        <v>25</v>
      </c>
      <c r="G4" s="71"/>
      <c r="H4" s="71">
        <v>51.99</v>
      </c>
      <c r="I4" s="71"/>
      <c r="J4" s="71">
        <v>12.5</v>
      </c>
      <c r="K4" s="71">
        <v>20</v>
      </c>
      <c r="L4" s="71">
        <v>1</v>
      </c>
      <c r="M4" s="71">
        <v>2.99</v>
      </c>
      <c r="N4" s="71">
        <v>25</v>
      </c>
      <c r="O4" s="71"/>
      <c r="P4" s="71">
        <v>51.5</v>
      </c>
      <c r="Q4" s="71"/>
      <c r="R4" s="71">
        <v>28.5</v>
      </c>
      <c r="S4" s="71"/>
      <c r="T4" s="71"/>
      <c r="U4" s="71">
        <v>8</v>
      </c>
      <c r="V4" s="71">
        <v>16</v>
      </c>
      <c r="W4" s="71">
        <v>15</v>
      </c>
      <c r="X4" s="71"/>
      <c r="Y4" s="71">
        <v>28</v>
      </c>
      <c r="Z4" s="71">
        <v>3.98</v>
      </c>
      <c r="AA4" s="71">
        <v>44.98</v>
      </c>
      <c r="AB4" s="71"/>
      <c r="AC4" s="71"/>
      <c r="AD4" s="71">
        <v>21.95</v>
      </c>
      <c r="AE4" s="71">
        <v>3</v>
      </c>
      <c r="AF4" s="71"/>
      <c r="AG4" s="71">
        <v>24.5</v>
      </c>
      <c r="AH4" s="108">
        <f t="shared" ref="AH4" si="1">SUM(C4:AG4)</f>
        <v>399.38000000000005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3.2700000000000005</v>
      </c>
      <c r="D5" s="107">
        <f t="shared" si="2"/>
        <v>0</v>
      </c>
      <c r="E5" s="107">
        <f t="shared" si="2"/>
        <v>13.68</v>
      </c>
      <c r="F5" s="107">
        <f t="shared" si="2"/>
        <v>27.35</v>
      </c>
      <c r="G5" s="107">
        <f t="shared" si="2"/>
        <v>0</v>
      </c>
      <c r="H5" s="107">
        <f t="shared" si="2"/>
        <v>56.910000000000004</v>
      </c>
      <c r="I5" s="107">
        <f t="shared" si="2"/>
        <v>0</v>
      </c>
      <c r="J5" s="107">
        <f t="shared" si="2"/>
        <v>13.68</v>
      </c>
      <c r="K5" s="107">
        <f t="shared" si="2"/>
        <v>21.88</v>
      </c>
      <c r="L5" s="107">
        <f t="shared" si="2"/>
        <v>1.0900000000000001</v>
      </c>
      <c r="M5" s="107">
        <f t="shared" si="2"/>
        <v>3.2700000000000005</v>
      </c>
      <c r="N5" s="107">
        <f t="shared" si="2"/>
        <v>27.36</v>
      </c>
      <c r="O5" s="107">
        <f t="shared" si="2"/>
        <v>0</v>
      </c>
      <c r="P5" s="107">
        <f t="shared" si="2"/>
        <v>56.36</v>
      </c>
      <c r="Q5" s="107">
        <f t="shared" si="2"/>
        <v>0</v>
      </c>
      <c r="R5" s="107">
        <f t="shared" si="2"/>
        <v>31.2</v>
      </c>
      <c r="S5" s="107">
        <f t="shared" si="2"/>
        <v>0</v>
      </c>
      <c r="T5" s="107">
        <f t="shared" si="2"/>
        <v>0</v>
      </c>
      <c r="U5" s="107">
        <f t="shared" si="2"/>
        <v>8.76</v>
      </c>
      <c r="V5" s="107">
        <f t="shared" si="2"/>
        <v>17.5</v>
      </c>
      <c r="W5" s="107">
        <f t="shared" si="2"/>
        <v>16.420000000000002</v>
      </c>
      <c r="X5" s="107">
        <f t="shared" si="2"/>
        <v>0</v>
      </c>
      <c r="Y5" s="107">
        <f t="shared" si="2"/>
        <v>30.62</v>
      </c>
      <c r="Z5" s="107">
        <f t="shared" si="2"/>
        <v>4.3600000000000003</v>
      </c>
      <c r="AA5" s="107">
        <f t="shared" si="2"/>
        <v>49.23</v>
      </c>
      <c r="AB5" s="107">
        <f t="shared" si="2"/>
        <v>0</v>
      </c>
      <c r="AC5" s="107">
        <f t="shared" si="2"/>
        <v>0</v>
      </c>
      <c r="AD5" s="107">
        <f t="shared" si="2"/>
        <v>24.02</v>
      </c>
      <c r="AE5" s="107">
        <f t="shared" si="2"/>
        <v>3.2800000000000002</v>
      </c>
      <c r="AF5" s="107">
        <f t="shared" si="2"/>
        <v>0</v>
      </c>
      <c r="AG5" s="107">
        <f t="shared" si="2"/>
        <v>26.82</v>
      </c>
      <c r="AH5" s="109">
        <f>SUM(C3:AG4)</f>
        <v>437.06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128</v>
      </c>
      <c r="AL6" s="283" t="s">
        <v>120</v>
      </c>
      <c r="AM6" s="284" t="s">
        <v>121</v>
      </c>
    </row>
    <row r="7" spans="1:40" x14ac:dyDescent="0.25">
      <c r="A7" s="89" t="s">
        <v>60</v>
      </c>
      <c r="B7" s="84" t="s">
        <v>54</v>
      </c>
      <c r="C7" s="392">
        <v>3.27</v>
      </c>
      <c r="D7" s="392"/>
      <c r="E7" s="392">
        <v>5.47</v>
      </c>
      <c r="F7" s="392">
        <v>27.35</v>
      </c>
      <c r="G7" s="392"/>
      <c r="H7" s="392"/>
      <c r="I7" s="392"/>
      <c r="J7" s="392">
        <v>13.68</v>
      </c>
      <c r="K7" s="392">
        <v>21.88</v>
      </c>
      <c r="L7" s="392">
        <v>1.0900000000000001</v>
      </c>
      <c r="M7" s="392">
        <v>3.27</v>
      </c>
      <c r="N7" s="392"/>
      <c r="O7" s="392"/>
      <c r="P7" s="392">
        <v>29</v>
      </c>
      <c r="Q7" s="392"/>
      <c r="R7" s="392">
        <v>21.89</v>
      </c>
      <c r="S7" s="392"/>
      <c r="T7" s="392"/>
      <c r="U7" s="392">
        <v>8.76</v>
      </c>
      <c r="V7" s="392"/>
      <c r="W7" s="392"/>
      <c r="X7" s="392"/>
      <c r="Y7" s="392">
        <v>30.62</v>
      </c>
      <c r="Z7" s="392">
        <v>4.3600000000000003</v>
      </c>
      <c r="AA7" s="392">
        <v>3.27</v>
      </c>
      <c r="AB7" s="392"/>
      <c r="AC7" s="392"/>
      <c r="AD7" s="392"/>
      <c r="AE7" s="392">
        <v>3.28</v>
      </c>
      <c r="AF7" s="393"/>
      <c r="AG7" s="393"/>
      <c r="AH7" s="110">
        <f>SUM(C7:AG7)</f>
        <v>177.19000000000003</v>
      </c>
      <c r="AJ7" s="137" t="s">
        <v>60</v>
      </c>
      <c r="AK7" s="138" t="s">
        <v>212</v>
      </c>
      <c r="AL7" s="386">
        <f>SUM(C7:AE7)</f>
        <v>177.19000000000003</v>
      </c>
      <c r="AM7" s="387">
        <f>SUM(AF7:AG7)</f>
        <v>0</v>
      </c>
    </row>
    <row r="8" spans="1:40" ht="16.5" thickBot="1" x14ac:dyDescent="0.3">
      <c r="A8" s="90" t="s">
        <v>60</v>
      </c>
      <c r="B8" s="91" t="s">
        <v>55</v>
      </c>
      <c r="C8" s="389"/>
      <c r="D8" s="389"/>
      <c r="E8" s="485">
        <v>8.2100000000000009</v>
      </c>
      <c r="F8" s="389"/>
      <c r="G8" s="391"/>
      <c r="H8" s="485">
        <v>56.91</v>
      </c>
      <c r="I8" s="389"/>
      <c r="J8" s="389"/>
      <c r="K8" s="389"/>
      <c r="L8" s="389"/>
      <c r="M8" s="389"/>
      <c r="N8" s="485">
        <v>27.36</v>
      </c>
      <c r="O8" s="389"/>
      <c r="P8" s="485">
        <v>27.36</v>
      </c>
      <c r="Q8" s="389"/>
      <c r="R8" s="485">
        <v>9.31</v>
      </c>
      <c r="S8" s="389"/>
      <c r="T8" s="389"/>
      <c r="U8" s="389"/>
      <c r="V8" s="485">
        <v>17.5</v>
      </c>
      <c r="W8" s="485">
        <v>16.420000000000002</v>
      </c>
      <c r="X8" s="389"/>
      <c r="Y8" s="389"/>
      <c r="Z8" s="389"/>
      <c r="AA8" s="485">
        <v>45.96</v>
      </c>
      <c r="AB8" s="391"/>
      <c r="AC8" s="391"/>
      <c r="AD8" s="488">
        <v>24.02</v>
      </c>
      <c r="AE8" s="391"/>
      <c r="AF8" s="391"/>
      <c r="AG8" s="488">
        <v>26.82</v>
      </c>
      <c r="AH8" s="111">
        <f t="shared" ref="AH8" si="3">SUM(C8:AG8)</f>
        <v>259.87</v>
      </c>
      <c r="AJ8" s="129" t="s">
        <v>60</v>
      </c>
      <c r="AK8" s="130" t="s">
        <v>213</v>
      </c>
      <c r="AL8" s="290">
        <f>SUM(C8:AC8)-AL13</f>
        <v>202.76</v>
      </c>
      <c r="AM8" s="291">
        <f>SUM(AD8:AG8)-AM13</f>
        <v>49.32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3.27</v>
      </c>
      <c r="D9" s="107">
        <f t="shared" si="4"/>
        <v>0</v>
      </c>
      <c r="E9" s="107">
        <f t="shared" si="4"/>
        <v>13.68</v>
      </c>
      <c r="F9" s="107">
        <f t="shared" si="4"/>
        <v>27.35</v>
      </c>
      <c r="G9" s="107">
        <f t="shared" si="4"/>
        <v>0</v>
      </c>
      <c r="H9" s="107">
        <f t="shared" si="4"/>
        <v>56.91</v>
      </c>
      <c r="I9" s="107">
        <f t="shared" si="4"/>
        <v>0</v>
      </c>
      <c r="J9" s="107">
        <f t="shared" si="4"/>
        <v>13.68</v>
      </c>
      <c r="K9" s="107">
        <f t="shared" si="4"/>
        <v>21.88</v>
      </c>
      <c r="L9" s="107">
        <f t="shared" si="4"/>
        <v>1.0900000000000001</v>
      </c>
      <c r="M9" s="107">
        <f t="shared" si="4"/>
        <v>3.27</v>
      </c>
      <c r="N9" s="107">
        <f t="shared" si="4"/>
        <v>27.36</v>
      </c>
      <c r="O9" s="107">
        <f t="shared" si="4"/>
        <v>0</v>
      </c>
      <c r="P9" s="107">
        <f t="shared" si="4"/>
        <v>56.36</v>
      </c>
      <c r="Q9" s="107">
        <f t="shared" si="4"/>
        <v>0</v>
      </c>
      <c r="R9" s="107">
        <f t="shared" si="4"/>
        <v>31.200000000000003</v>
      </c>
      <c r="S9" s="107">
        <f t="shared" si="4"/>
        <v>0</v>
      </c>
      <c r="T9" s="107">
        <f t="shared" si="4"/>
        <v>0</v>
      </c>
      <c r="U9" s="107">
        <f t="shared" si="4"/>
        <v>8.76</v>
      </c>
      <c r="V9" s="107">
        <f t="shared" si="4"/>
        <v>17.5</v>
      </c>
      <c r="W9" s="107">
        <f t="shared" si="4"/>
        <v>16.420000000000002</v>
      </c>
      <c r="X9" s="107">
        <f t="shared" si="4"/>
        <v>0</v>
      </c>
      <c r="Y9" s="107">
        <f t="shared" si="4"/>
        <v>30.62</v>
      </c>
      <c r="Z9" s="107">
        <f t="shared" si="4"/>
        <v>4.3600000000000003</v>
      </c>
      <c r="AA9" s="107">
        <f t="shared" si="4"/>
        <v>49.230000000000004</v>
      </c>
      <c r="AB9" s="107">
        <f t="shared" si="4"/>
        <v>0</v>
      </c>
      <c r="AC9" s="107">
        <f t="shared" si="4"/>
        <v>0</v>
      </c>
      <c r="AD9" s="107">
        <f t="shared" si="4"/>
        <v>24.02</v>
      </c>
      <c r="AE9" s="107">
        <f t="shared" si="4"/>
        <v>3.28</v>
      </c>
      <c r="AF9" s="107">
        <f t="shared" si="4"/>
        <v>0</v>
      </c>
      <c r="AG9" s="107">
        <f t="shared" si="4"/>
        <v>26.82</v>
      </c>
      <c r="AH9" s="110">
        <f>SUM(C9:AG9)</f>
        <v>437.06</v>
      </c>
      <c r="AI9" s="59"/>
      <c r="AJ9" s="499" t="s">
        <v>76</v>
      </c>
      <c r="AK9" s="500"/>
      <c r="AL9" s="501">
        <f>SUM(AL7:AM8)</f>
        <v>429.27000000000004</v>
      </c>
      <c r="AM9" s="502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8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9"/>
      <c r="AK12" s="225"/>
      <c r="AL12" s="99"/>
      <c r="AM12" s="480">
        <f>AL9+AL11+AM11+AL13+AM13</f>
        <v>437.06</v>
      </c>
      <c r="AN12" s="479">
        <f>AM12-AH5</f>
        <v>0</v>
      </c>
    </row>
    <row r="13" spans="1:40" s="99" customFormat="1" ht="16.5" thickBot="1" x14ac:dyDescent="0.3">
      <c r="A13" s="468" t="s">
        <v>216</v>
      </c>
      <c r="B13" s="101" t="s">
        <v>195</v>
      </c>
      <c r="C13" s="470"/>
      <c r="D13" s="470"/>
      <c r="E13" s="487">
        <v>0.24</v>
      </c>
      <c r="F13" s="470"/>
      <c r="G13" s="470"/>
      <c r="H13" s="487">
        <v>1.71</v>
      </c>
      <c r="I13" s="470"/>
      <c r="J13" s="470"/>
      <c r="K13" s="470"/>
      <c r="L13" s="470"/>
      <c r="M13" s="470"/>
      <c r="N13" s="487">
        <v>0.82</v>
      </c>
      <c r="O13" s="470"/>
      <c r="P13" s="487">
        <v>0.82</v>
      </c>
      <c r="Q13" s="470"/>
      <c r="R13" s="487">
        <v>0.28000000000000003</v>
      </c>
      <c r="S13" s="470"/>
      <c r="T13" s="470"/>
      <c r="U13" s="470"/>
      <c r="V13" s="487">
        <v>0.53</v>
      </c>
      <c r="W13" s="487">
        <v>0.49</v>
      </c>
      <c r="X13" s="470"/>
      <c r="Y13" s="470"/>
      <c r="Z13" s="470"/>
      <c r="AA13" s="487">
        <v>1.38</v>
      </c>
      <c r="AB13" s="470"/>
      <c r="AC13" s="470"/>
      <c r="AD13" s="489">
        <v>0.72</v>
      </c>
      <c r="AE13" s="470"/>
      <c r="AF13" s="470"/>
      <c r="AG13" s="490">
        <v>0.8</v>
      </c>
      <c r="AH13" s="471">
        <f t="shared" ref="AH13" si="6">SUM(C13:AG13)</f>
        <v>7.79</v>
      </c>
      <c r="AI13" s="62"/>
      <c r="AJ13" s="468" t="s">
        <v>216</v>
      </c>
      <c r="AK13" s="212" t="s">
        <v>197</v>
      </c>
      <c r="AL13" s="271">
        <f>SUM(C13:AC13)</f>
        <v>6.2700000000000005</v>
      </c>
      <c r="AM13" s="272">
        <f>SUM(AD13:AG13)</f>
        <v>1.52</v>
      </c>
      <c r="AN13" s="274"/>
    </row>
    <row r="14" spans="1:40" s="102" customFormat="1" x14ac:dyDescent="0.25">
      <c r="A14" s="224"/>
      <c r="B14" s="225"/>
      <c r="C14" s="225"/>
      <c r="D14" s="225"/>
      <c r="E14" s="484">
        <f>E8-E13</f>
        <v>7.9700000000000006</v>
      </c>
      <c r="F14" s="484"/>
      <c r="G14" s="484"/>
      <c r="H14" s="484">
        <f t="shared" ref="H14:AG14" si="7">H8-H13</f>
        <v>55.199999999999996</v>
      </c>
      <c r="I14" s="484"/>
      <c r="J14" s="484"/>
      <c r="K14" s="484"/>
      <c r="L14" s="484"/>
      <c r="M14" s="484"/>
      <c r="N14" s="484">
        <f t="shared" si="7"/>
        <v>26.54</v>
      </c>
      <c r="O14" s="484"/>
      <c r="P14" s="484">
        <f t="shared" si="7"/>
        <v>26.54</v>
      </c>
      <c r="Q14" s="484"/>
      <c r="R14" s="484">
        <f t="shared" si="7"/>
        <v>9.0300000000000011</v>
      </c>
      <c r="S14" s="484"/>
      <c r="T14" s="484"/>
      <c r="U14" s="484"/>
      <c r="V14" s="484">
        <f t="shared" si="7"/>
        <v>16.97</v>
      </c>
      <c r="W14" s="484">
        <f t="shared" si="7"/>
        <v>15.930000000000001</v>
      </c>
      <c r="X14" s="484"/>
      <c r="Y14" s="484"/>
      <c r="Z14" s="484"/>
      <c r="AA14" s="484">
        <f t="shared" si="7"/>
        <v>44.58</v>
      </c>
      <c r="AB14" s="484"/>
      <c r="AC14" s="484"/>
      <c r="AD14" s="484">
        <f t="shared" si="7"/>
        <v>23.3</v>
      </c>
      <c r="AE14" s="484"/>
      <c r="AF14" s="484"/>
      <c r="AG14" s="484">
        <f t="shared" si="7"/>
        <v>26.02</v>
      </c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topLeftCell="A10" workbookViewId="0">
      <selection activeCell="C43" sqref="C43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March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2" t="s">
        <v>181</v>
      </c>
      <c r="B3" s="523"/>
      <c r="C3" s="524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92856.900000000009</v>
      </c>
      <c r="D4" s="516"/>
      <c r="E4" s="517"/>
      <c r="F4" s="517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0"/>
      <c r="E5" s="521"/>
      <c r="F5" s="521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17882.5</v>
      </c>
      <c r="D6" s="518"/>
      <c r="E6" s="519"/>
      <c r="F6" s="519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0"/>
      <c r="E7" s="521"/>
      <c r="F7" s="521"/>
    </row>
    <row r="8" spans="1:6" ht="14.1" customHeight="1" x14ac:dyDescent="0.25">
      <c r="A8" s="90" t="s">
        <v>159</v>
      </c>
      <c r="B8" s="91" t="s">
        <v>168</v>
      </c>
      <c r="C8" s="187">
        <f>Pool!AH10</f>
        <v>2</v>
      </c>
      <c r="D8" s="520"/>
      <c r="E8" s="521"/>
      <c r="F8" s="521"/>
    </row>
    <row r="9" spans="1:6" ht="14.1" customHeight="1" x14ac:dyDescent="0.25">
      <c r="A9" s="90" t="s">
        <v>34</v>
      </c>
      <c r="B9" s="91" t="s">
        <v>35</v>
      </c>
      <c r="C9" s="187">
        <f>Pool!AH14</f>
        <v>524</v>
      </c>
      <c r="D9" s="520"/>
      <c r="E9" s="521"/>
      <c r="F9" s="521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6484.8899999999994</v>
      </c>
      <c r="D10" s="520"/>
      <c r="E10" s="521"/>
      <c r="F10" s="521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0"/>
      <c r="E11" s="521"/>
      <c r="F11" s="521"/>
    </row>
    <row r="12" spans="1:6" ht="14.1" customHeight="1" x14ac:dyDescent="0.25">
      <c r="A12" s="90" t="s">
        <v>77</v>
      </c>
      <c r="B12" s="91" t="s">
        <v>193</v>
      </c>
      <c r="C12" s="187">
        <f>Pool!AH18</f>
        <v>1657.5</v>
      </c>
      <c r="D12" s="520"/>
      <c r="E12" s="521"/>
      <c r="F12" s="521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0"/>
      <c r="E13" s="521"/>
      <c r="F13" s="521"/>
    </row>
    <row r="14" spans="1:6" ht="14.1" customHeight="1" x14ac:dyDescent="0.25">
      <c r="A14" s="90" t="s">
        <v>40</v>
      </c>
      <c r="B14" s="91" t="s">
        <v>228</v>
      </c>
      <c r="C14" s="187">
        <f>Pool!AH20</f>
        <v>270</v>
      </c>
      <c r="D14" s="520"/>
      <c r="E14" s="521"/>
      <c r="F14" s="521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180</v>
      </c>
      <c r="D15" s="520"/>
      <c r="E15" s="521"/>
      <c r="F15" s="521"/>
    </row>
    <row r="16" spans="1:6" ht="14.1" hidden="1" customHeight="1" x14ac:dyDescent="0.25">
      <c r="A16" s="472" t="s">
        <v>42</v>
      </c>
      <c r="B16" s="473" t="s">
        <v>43</v>
      </c>
      <c r="C16" s="474">
        <f>Pool!AH22</f>
        <v>0</v>
      </c>
      <c r="D16" s="520"/>
      <c r="E16" s="521"/>
      <c r="F16" s="521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0"/>
      <c r="E17" s="521"/>
      <c r="F17" s="521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0"/>
      <c r="E18" s="521"/>
      <c r="F18" s="521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0"/>
      <c r="E19" s="521"/>
      <c r="F19" s="521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0"/>
      <c r="E20" s="521"/>
      <c r="F20" s="521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0"/>
      <c r="E21" s="521"/>
      <c r="F21" s="521"/>
    </row>
    <row r="22" spans="1:7" ht="14.1" customHeight="1" x14ac:dyDescent="0.25">
      <c r="A22" s="189"/>
      <c r="B22" s="207" t="s">
        <v>64</v>
      </c>
      <c r="C22" s="475">
        <f>C4+C5+C6+C7+C8+C9+C10+C11+C12+C15+C14</f>
        <v>119857.79000000001</v>
      </c>
      <c r="D22" s="521" t="s">
        <v>171</v>
      </c>
      <c r="E22" s="521"/>
      <c r="F22" s="521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2" t="s">
        <v>174</v>
      </c>
      <c r="B24" s="523"/>
      <c r="C24" s="524"/>
    </row>
    <row r="25" spans="1:7" ht="14.1" customHeight="1" x14ac:dyDescent="0.25">
      <c r="A25" s="126" t="s">
        <v>61</v>
      </c>
      <c r="B25" s="394" t="s">
        <v>62</v>
      </c>
      <c r="C25" s="395">
        <f>Pool!AH3</f>
        <v>611.13999999999976</v>
      </c>
      <c r="D25" s="520"/>
      <c r="E25" s="521"/>
      <c r="F25" s="521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0" t="s">
        <v>179</v>
      </c>
      <c r="E26" s="521"/>
      <c r="F26" s="521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0" t="s">
        <v>169</v>
      </c>
      <c r="E27" s="521"/>
      <c r="F27" s="521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0" t="s">
        <v>170</v>
      </c>
      <c r="E28" s="521"/>
      <c r="F28" s="521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122</v>
      </c>
      <c r="D29" s="520" t="s">
        <v>175</v>
      </c>
      <c r="E29" s="521"/>
      <c r="F29" s="521"/>
    </row>
    <row r="30" spans="1:7" ht="14.1" customHeight="1" x14ac:dyDescent="0.25">
      <c r="A30" s="116"/>
      <c r="B30" s="400" t="s">
        <v>176</v>
      </c>
      <c r="C30" s="401">
        <f>SUM(C25:C29)</f>
        <v>733.13999999999976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120590.93000000001</v>
      </c>
      <c r="D32" s="521" t="s">
        <v>178</v>
      </c>
      <c r="E32" s="521"/>
      <c r="F32" s="521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2" t="s">
        <v>180</v>
      </c>
      <c r="B34" s="523"/>
      <c r="C34" s="524"/>
    </row>
    <row r="35" spans="1:6" ht="14.1" customHeight="1" x14ac:dyDescent="0.25">
      <c r="A35" s="126" t="s">
        <v>60</v>
      </c>
      <c r="B35" s="127" t="s">
        <v>86</v>
      </c>
      <c r="C35" s="157">
        <f>Pool!AL33</f>
        <v>15799.58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669.39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86269.349999999991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14486.94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3138.67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-0.99999999999806732</v>
      </c>
      <c r="D42" s="525"/>
      <c r="E42" s="526"/>
      <c r="F42" s="526"/>
    </row>
    <row r="43" spans="1:6" ht="14.1" customHeight="1" x14ac:dyDescent="0.25">
      <c r="A43" s="361" t="s">
        <v>67</v>
      </c>
      <c r="B43" s="362" t="s">
        <v>91</v>
      </c>
      <c r="C43" s="379">
        <f>Pool!AL37</f>
        <v>182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46</v>
      </c>
    </row>
    <row r="45" spans="1:6" ht="12.75" customHeight="1" x14ac:dyDescent="0.25">
      <c r="A45" s="205"/>
      <c r="B45" s="208" t="s">
        <v>65</v>
      </c>
      <c r="C45" s="209">
        <f>SUM(C35:C44)</f>
        <v>120590.93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5862</v>
      </c>
    </row>
    <row r="48" spans="1:6" ht="14.1" customHeight="1" x14ac:dyDescent="0.25">
      <c r="B48" s="129" t="s">
        <v>58</v>
      </c>
      <c r="C48" s="237">
        <f>Pool!AJ48</f>
        <v>1286</v>
      </c>
    </row>
    <row r="49" spans="1:5" ht="14.1" customHeight="1" thickBot="1" x14ac:dyDescent="0.3">
      <c r="B49" s="238" t="s">
        <v>106</v>
      </c>
      <c r="C49" s="239">
        <f>C47+C48</f>
        <v>7148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14.537908091403324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94.058823529411768</v>
      </c>
    </row>
    <row r="55" spans="1:5" ht="14.1" customHeight="1" x14ac:dyDescent="0.25">
      <c r="A55" s="264"/>
      <c r="B55" s="312" t="s">
        <v>134</v>
      </c>
      <c r="C55" s="313">
        <f>Pool!AJ58</f>
        <v>80</v>
      </c>
    </row>
    <row r="56" spans="1:5" ht="14.1" customHeight="1" x14ac:dyDescent="0.25">
      <c r="B56" s="312" t="s">
        <v>136</v>
      </c>
      <c r="C56" s="313">
        <f>Pool!AJ59</f>
        <v>74</v>
      </c>
    </row>
    <row r="57" spans="1:5" ht="14.1" customHeight="1" thickBot="1" x14ac:dyDescent="0.3">
      <c r="B57" s="314" t="s">
        <v>140</v>
      </c>
      <c r="C57" s="315">
        <f>Pool!AJ60</f>
        <v>0.5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March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7" t="s">
        <v>57</v>
      </c>
      <c r="C24" s="528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6" sqref="C6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March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37.68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399.38000000000005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437.06000000000006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177.19000000000003</v>
      </c>
    </row>
    <row r="11" spans="1:5" x14ac:dyDescent="0.25">
      <c r="A11" s="129" t="s">
        <v>60</v>
      </c>
      <c r="B11" s="130" t="s">
        <v>219</v>
      </c>
      <c r="C11" s="131">
        <f>'Visitor Center'!AM7</f>
        <v>0</v>
      </c>
    </row>
    <row r="12" spans="1:5" x14ac:dyDescent="0.25">
      <c r="A12" s="129" t="s">
        <v>60</v>
      </c>
      <c r="B12" s="130" t="s">
        <v>220</v>
      </c>
      <c r="C12" s="131">
        <f>'Visitor Center'!AL8</f>
        <v>202.76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49.32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7.7900000000000009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437.06000000000006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2023-04-04T20:34:06Z</cp:lastPrinted>
  <dcterms:created xsi:type="dcterms:W3CDTF">2017-08-14T15:26:56Z</dcterms:created>
  <dcterms:modified xsi:type="dcterms:W3CDTF">2023-05-09T20:58:16Z</dcterms:modified>
</cp:coreProperties>
</file>