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Box Cañon JE" sheetId="7" r:id="rId5"/>
    <sheet name="POOL JE" sheetId="5" r:id="rId6"/>
  </sheets>
  <externalReferences>
    <externalReference r:id="rId7"/>
  </externalReferences>
  <definedNames>
    <definedName name="_xlnm.Print_Area" localSheetId="3">'Box Canon'!$A$2:$AH$45</definedName>
    <definedName name="_xlnm.Print_Area" localSheetId="4">'Box Cañon JE'!$A$1:$D$31</definedName>
    <definedName name="_xlnm.Print_Area" localSheetId="1">Pool!$A$1:$AH$54</definedName>
    <definedName name="_xlnm.Print_Area" localSheetId="5">'POOL JE'!$A$1:$C$61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4" i="3" l="1"/>
  <c r="AM45" i="3"/>
  <c r="AM34" i="3" s="1"/>
  <c r="AL45" i="3"/>
  <c r="AF8" i="3" l="1"/>
  <c r="AM33" i="3"/>
  <c r="AL33" i="3"/>
  <c r="AE8" i="3"/>
  <c r="AD14" i="3"/>
  <c r="AD8" i="3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C40" i="9"/>
  <c r="AH40" i="9" s="1"/>
  <c r="AH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C33" i="9"/>
  <c r="AF6" i="9"/>
  <c r="AE6" i="9"/>
  <c r="AM28" i="9"/>
  <c r="C18" i="7" s="1"/>
  <c r="AL28" i="9"/>
  <c r="C17" i="7" s="1"/>
  <c r="AH33" i="9" l="1"/>
  <c r="AJ33" i="9" s="1"/>
  <c r="AM20" i="9"/>
  <c r="AH28" i="9" l="1"/>
  <c r="AA8" i="3" l="1"/>
  <c r="Z8" i="3"/>
  <c r="Y8" i="3"/>
  <c r="R8" i="3" l="1"/>
  <c r="P8" i="3"/>
  <c r="O8" i="3" l="1"/>
  <c r="M8" i="3"/>
  <c r="K8" i="3" l="1"/>
  <c r="J8" i="3"/>
  <c r="I8" i="3"/>
  <c r="F8" i="3" l="1"/>
  <c r="E8" i="3"/>
  <c r="D17" i="3"/>
  <c r="D8" i="3"/>
  <c r="C8" i="3"/>
  <c r="AH45" i="3" l="1"/>
  <c r="C42" i="5" l="1"/>
  <c r="C43" i="5"/>
  <c r="AM35" i="3" l="1"/>
  <c r="AL35" i="3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5" i="5" l="1"/>
  <c r="D40" i="3" l="1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5" i="7" l="1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43" i="9" l="1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G39" i="9"/>
  <c r="C39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G36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E45" i="9" s="1"/>
  <c r="AF34" i="9"/>
  <c r="AG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G35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G32" i="9"/>
  <c r="D31" i="9"/>
  <c r="E31" i="9"/>
  <c r="F31" i="9"/>
  <c r="G31" i="9"/>
  <c r="H31" i="9"/>
  <c r="I31" i="9"/>
  <c r="I45" i="9" s="1"/>
  <c r="J31" i="9"/>
  <c r="J45" i="9" s="1"/>
  <c r="K31" i="9"/>
  <c r="L31" i="9"/>
  <c r="M31" i="9"/>
  <c r="N31" i="9"/>
  <c r="O31" i="9"/>
  <c r="P31" i="9"/>
  <c r="Q31" i="9"/>
  <c r="Q45" i="9" s="1"/>
  <c r="R31" i="9"/>
  <c r="R45" i="9" s="1"/>
  <c r="S31" i="9"/>
  <c r="T31" i="9"/>
  <c r="U31" i="9"/>
  <c r="V31" i="9"/>
  <c r="W31" i="9"/>
  <c r="X31" i="9"/>
  <c r="Y31" i="9"/>
  <c r="Y45" i="9" s="1"/>
  <c r="Z31" i="9"/>
  <c r="Z45" i="9" s="1"/>
  <c r="AA31" i="9"/>
  <c r="AB31" i="9"/>
  <c r="AC31" i="9"/>
  <c r="AD31" i="9"/>
  <c r="AG31" i="9"/>
  <c r="C34" i="9"/>
  <c r="C35" i="9"/>
  <c r="C32" i="9"/>
  <c r="C31" i="9"/>
  <c r="C36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5" i="9"/>
  <c r="AH6" i="9"/>
  <c r="AH7" i="9"/>
  <c r="AH9" i="9"/>
  <c r="AH10" i="9"/>
  <c r="AH11" i="9"/>
  <c r="AH12" i="9"/>
  <c r="AH13" i="9"/>
  <c r="AH14" i="9"/>
  <c r="A18" i="9"/>
  <c r="T25" i="9"/>
  <c r="V23" i="9"/>
  <c r="X25" i="9"/>
  <c r="Z23" i="9"/>
  <c r="AB25" i="9"/>
  <c r="AD23" i="9"/>
  <c r="AF25" i="9"/>
  <c r="AH18" i="9"/>
  <c r="A19" i="9"/>
  <c r="T26" i="9"/>
  <c r="V26" i="9"/>
  <c r="X26" i="9"/>
  <c r="Z26" i="9"/>
  <c r="AB26" i="9"/>
  <c r="AD26" i="9"/>
  <c r="AF26" i="9"/>
  <c r="AH19" i="9"/>
  <c r="A20" i="9"/>
  <c r="AH20" i="9"/>
  <c r="AM21" i="9" s="1"/>
  <c r="C16" i="7" s="1"/>
  <c r="A21" i="9"/>
  <c r="AH21" i="9"/>
  <c r="AH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U23" i="9"/>
  <c r="W23" i="9"/>
  <c r="Y23" i="9"/>
  <c r="AA23" i="9"/>
  <c r="AC23" i="9"/>
  <c r="AE23" i="9"/>
  <c r="AG23" i="9"/>
  <c r="C25" i="9"/>
  <c r="E25" i="9"/>
  <c r="G25" i="9"/>
  <c r="I25" i="9"/>
  <c r="K25" i="9"/>
  <c r="M25" i="9"/>
  <c r="O25" i="9"/>
  <c r="Q25" i="9"/>
  <c r="S25" i="9"/>
  <c r="U25" i="9"/>
  <c r="W25" i="9"/>
  <c r="Y25" i="9"/>
  <c r="AA25" i="9"/>
  <c r="AC25" i="9"/>
  <c r="AE25" i="9"/>
  <c r="AG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U26" i="9"/>
  <c r="W26" i="9"/>
  <c r="Y26" i="9"/>
  <c r="AA26" i="9"/>
  <c r="AC26" i="9"/>
  <c r="AE26" i="9"/>
  <c r="AG26" i="9"/>
  <c r="K44" i="9" l="1"/>
  <c r="X45" i="9"/>
  <c r="P45" i="9"/>
  <c r="H45" i="9"/>
  <c r="E44" i="9"/>
  <c r="M44" i="9"/>
  <c r="U44" i="9"/>
  <c r="AC44" i="9"/>
  <c r="AB44" i="9"/>
  <c r="W45" i="9"/>
  <c r="O45" i="9"/>
  <c r="G45" i="9"/>
  <c r="F44" i="9"/>
  <c r="N44" i="9"/>
  <c r="V44" i="9"/>
  <c r="AD44" i="9"/>
  <c r="AA44" i="9"/>
  <c r="L44" i="9"/>
  <c r="AD45" i="9"/>
  <c r="V45" i="9"/>
  <c r="N45" i="9"/>
  <c r="F45" i="9"/>
  <c r="G44" i="9"/>
  <c r="O44" i="9"/>
  <c r="W44" i="9"/>
  <c r="AE44" i="9"/>
  <c r="T44" i="9"/>
  <c r="AC37" i="9"/>
  <c r="AC45" i="9"/>
  <c r="U37" i="9"/>
  <c r="U45" i="9"/>
  <c r="M37" i="9"/>
  <c r="M45" i="9"/>
  <c r="E37" i="9"/>
  <c r="E45" i="9"/>
  <c r="H44" i="9"/>
  <c r="P44" i="9"/>
  <c r="X44" i="9"/>
  <c r="AF44" i="9"/>
  <c r="AF37" i="9"/>
  <c r="AF45" i="9"/>
  <c r="C44" i="9"/>
  <c r="AB37" i="9"/>
  <c r="AB45" i="9"/>
  <c r="T37" i="9"/>
  <c r="T45" i="9"/>
  <c r="L37" i="9"/>
  <c r="L45" i="9"/>
  <c r="D37" i="9"/>
  <c r="D45" i="9"/>
  <c r="I44" i="9"/>
  <c r="Q44" i="9"/>
  <c r="Y44" i="9"/>
  <c r="S44" i="9"/>
  <c r="D44" i="9"/>
  <c r="C45" i="9"/>
  <c r="AA45" i="9"/>
  <c r="S45" i="9"/>
  <c r="K45" i="9"/>
  <c r="J44" i="9"/>
  <c r="R44" i="9"/>
  <c r="Z44" i="9"/>
  <c r="S37" i="9"/>
  <c r="K37" i="9"/>
  <c r="AA37" i="9"/>
  <c r="Y37" i="9"/>
  <c r="Q37" i="9"/>
  <c r="I37" i="9"/>
  <c r="AD37" i="9"/>
  <c r="V37" i="9"/>
  <c r="N37" i="9"/>
  <c r="F37" i="9"/>
  <c r="C37" i="9"/>
  <c r="Z37" i="9"/>
  <c r="R37" i="9"/>
  <c r="J37" i="9"/>
  <c r="C6" i="7"/>
  <c r="AE37" i="9"/>
  <c r="X37" i="9"/>
  <c r="P37" i="9"/>
  <c r="H37" i="9"/>
  <c r="W37" i="9"/>
  <c r="O37" i="9"/>
  <c r="G37" i="9"/>
  <c r="AH32" i="9"/>
  <c r="AJ32" i="9" s="1"/>
  <c r="C3" i="7"/>
  <c r="AG37" i="9"/>
  <c r="AH42" i="9"/>
  <c r="AH35" i="9"/>
  <c r="AH41" i="9"/>
  <c r="C4" i="7"/>
  <c r="C7" i="7"/>
  <c r="AH43" i="9"/>
  <c r="AG44" i="9"/>
  <c r="AH38" i="9"/>
  <c r="C25" i="7" s="1"/>
  <c r="C5" i="7"/>
  <c r="AG45" i="9"/>
  <c r="AH39" i="9"/>
  <c r="AH31" i="9"/>
  <c r="AH36" i="9"/>
  <c r="AH26" i="9"/>
  <c r="AH15" i="9"/>
  <c r="AH8" i="9"/>
  <c r="AH34" i="9"/>
  <c r="AJ34" i="9" s="1"/>
  <c r="AD25" i="9"/>
  <c r="Z25" i="9"/>
  <c r="V25" i="9"/>
  <c r="R25" i="9"/>
  <c r="N25" i="9"/>
  <c r="J25" i="9"/>
  <c r="F25" i="9"/>
  <c r="AF23" i="9"/>
  <c r="AB23" i="9"/>
  <c r="X23" i="9"/>
  <c r="T23" i="9"/>
  <c r="P25" i="9"/>
  <c r="L25" i="9"/>
  <c r="H25" i="9"/>
  <c r="D25" i="9"/>
  <c r="AJ36" i="9" l="1"/>
  <c r="AH45" i="9"/>
  <c r="AJ31" i="9"/>
  <c r="C23" i="7" s="1"/>
  <c r="AJ35" i="9"/>
  <c r="C27" i="7" s="1"/>
  <c r="AH37" i="9"/>
  <c r="C26" i="7"/>
  <c r="C28" i="7"/>
  <c r="C24" i="7"/>
  <c r="AH23" i="9"/>
  <c r="AH44" i="9"/>
  <c r="AH25" i="9"/>
  <c r="AJ45" i="9"/>
  <c r="C30" i="7" l="1"/>
  <c r="C9" i="7"/>
  <c r="AM23" i="9"/>
  <c r="AL24" i="9" s="1"/>
  <c r="AN24" i="9" s="1"/>
  <c r="AH5" i="3"/>
  <c r="AH20" i="3" l="1"/>
  <c r="C16" i="5" s="1"/>
  <c r="AH9" i="3"/>
  <c r="C7" i="5" s="1"/>
  <c r="AH10" i="3"/>
  <c r="C8" i="5" s="1"/>
  <c r="AH11" i="3"/>
  <c r="C27" i="5" s="1"/>
  <c r="AH12" i="3"/>
  <c r="C28" i="5" s="1"/>
  <c r="AH13" i="3"/>
  <c r="C29" i="5" s="1"/>
  <c r="B1" i="3" l="1"/>
  <c r="AH29" i="3" l="1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C54" i="3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61" i="5" s="1"/>
  <c r="AH59" i="3"/>
  <c r="AJ59" i="3" s="1"/>
  <c r="M34" i="8" s="1"/>
  <c r="AH58" i="3"/>
  <c r="AJ58" i="3" s="1"/>
  <c r="L34" i="8" s="1"/>
  <c r="AH57" i="3"/>
  <c r="AJ57" i="3" s="1"/>
  <c r="K34" i="8" s="1"/>
  <c r="C60" i="5" l="1"/>
  <c r="C59" i="5"/>
  <c r="C58" i="5"/>
  <c r="AH30" i="3" l="1"/>
  <c r="C45" i="5" l="1"/>
  <c r="C41" i="5"/>
  <c r="C39" i="5"/>
  <c r="C37" i="5"/>
  <c r="C38" i="5" l="1"/>
  <c r="C36" i="5" l="1"/>
  <c r="AH54" i="3" l="1"/>
  <c r="AJ54" i="3" s="1"/>
  <c r="C55" i="5" s="1"/>
  <c r="B8" i="2"/>
  <c r="B1" i="7" l="1"/>
  <c r="AH16" i="3" l="1"/>
  <c r="C11" i="5" s="1"/>
  <c r="AH17" i="3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C50" i="3"/>
  <c r="C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40" i="5" s="1"/>
  <c r="AH36" i="3"/>
  <c r="AH37" i="3"/>
  <c r="AL37" i="3" s="1"/>
  <c r="C47" i="5" s="1"/>
  <c r="AH38" i="3"/>
  <c r="AL38" i="3" s="1"/>
  <c r="C48" i="5" s="1"/>
  <c r="AJ48" i="3" l="1"/>
  <c r="C52" i="5" s="1"/>
  <c r="AL39" i="3"/>
  <c r="AM44" i="3" s="1"/>
  <c r="C44" i="5"/>
  <c r="O34" i="8"/>
  <c r="C51" i="5"/>
  <c r="C53" i="5" l="1"/>
  <c r="AH52" i="3"/>
  <c r="AJ52" i="3" s="1"/>
  <c r="AH50" i="3"/>
  <c r="AJ50" i="3" s="1"/>
  <c r="AH26" i="3" l="1"/>
  <c r="C21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H41" i="3" s="1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H31" i="3" s="1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AH6" i="3"/>
  <c r="AH14" i="3"/>
  <c r="C9" i="5" s="1"/>
  <c r="AH15" i="3"/>
  <c r="C10" i="5" s="1"/>
  <c r="AH18" i="3"/>
  <c r="AL18" i="3" s="1"/>
  <c r="AH19" i="3"/>
  <c r="C14" i="5" s="1"/>
  <c r="AH21" i="3"/>
  <c r="C15" i="5" s="1"/>
  <c r="AH22" i="3"/>
  <c r="C17" i="5" s="1"/>
  <c r="AH23" i="3"/>
  <c r="C18" i="5" s="1"/>
  <c r="AH24" i="3"/>
  <c r="C19" i="5" s="1"/>
  <c r="AH25" i="3"/>
  <c r="C20" i="5" s="1"/>
  <c r="AH27" i="3"/>
  <c r="C22" i="5" s="1"/>
  <c r="AH28" i="3"/>
  <c r="C30" i="5" s="1"/>
  <c r="AH3" i="3"/>
  <c r="C26" i="5" s="1"/>
  <c r="C43" i="3"/>
  <c r="C29" i="3"/>
  <c r="C31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1" i="5" l="1"/>
  <c r="C13" i="5"/>
  <c r="C12" i="5" s="1"/>
  <c r="A10" i="2"/>
  <c r="B9" i="2"/>
  <c r="C40" i="2"/>
  <c r="G40" i="2"/>
  <c r="E43" i="3"/>
  <c r="AH43" i="3" s="1"/>
  <c r="AH31" i="3"/>
  <c r="C39" i="3"/>
  <c r="O42" i="2"/>
  <c r="Q42" i="2"/>
  <c r="C4" i="5" l="1"/>
  <c r="C23" i="5" s="1"/>
  <c r="C33" i="5" s="1"/>
  <c r="A11" i="2"/>
  <c r="B10" i="2"/>
  <c r="AL43" i="3"/>
  <c r="AH39" i="3"/>
  <c r="AN39" i="3" s="1"/>
  <c r="C41" i="3"/>
  <c r="AH41" i="3" s="1"/>
  <c r="C46" i="5" l="1"/>
  <c r="C49" i="5" s="1"/>
  <c r="AN44" i="3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0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AJ1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50-40-4030
50% 50-43-4010
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 refund for box canon admission showing on report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AE25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F25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<sst xmlns="http://schemas.openxmlformats.org/spreadsheetml/2006/main" count="461" uniqueCount="221">
  <si>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</si>
  <si>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</si>
  <si>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</si>
  <si>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</si>
  <si>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</si>
  <si>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</si>
  <si>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</si>
  <si>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</si>
  <si>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</si>
  <si>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</si>
  <si>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</si>
  <si>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</si>
  <si>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</si>
  <si>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</si>
  <si>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</si>
  <si>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</si>
  <si>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</si>
  <si>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</si>
  <si>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</si>
  <si>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</si>
  <si>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</si>
  <si>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</si>
  <si>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</si>
  <si>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</si>
  <si>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</si>
  <si>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</si>
  <si>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</si>
  <si>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</si>
  <si>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</si>
  <si>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</si>
  <si>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</si>
  <si>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</si>
  <si>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</si>
  <si>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</si>
  <si>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</si>
  <si>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</si>
  <si>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</si>
  <si>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</si>
  <si>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</si>
  <si>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</si>
  <si>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</si>
  <si>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</si>
  <si>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</si>
  <si>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</si>
  <si>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</si>
  <si>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</si>
  <si>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</si>
  <si>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</si>
  <si>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</si>
  <si>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</si>
  <si>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</si>
  <si>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</si>
  <si>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</si>
  <si>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</si>
  <si>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</si>
  <si>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</si>
  <si>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</si>
  <si>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</si>
  <si>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</si>
  <si>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</si>
  <si>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</si>
  <si>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</si>
  <si>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</si>
  <si>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</si>
  <si>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Pool/Gym Revenue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</si>
  <si>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</si>
  <si>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</si>
  <si>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</si>
  <si>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</si>
  <si>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</si>
  <si>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</si>
  <si>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</si>
  <si>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</si>
  <si>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</si>
  <si>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</si>
  <si>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</si>
  <si>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</si>
  <si>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</si>
  <si>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</si>
  <si>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</si>
  <si>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</si>
  <si>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</si>
  <si>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</si>
  <si>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</si>
  <si>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</si>
  <si>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</si>
  <si>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</si>
  <si>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</si>
  <si>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</si>
  <si>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</si>
  <si>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</si>
  <si>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</si>
  <si>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</si>
  <si>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</si>
  <si>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</si>
  <si>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</si>
  <si>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</si>
  <si>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</si>
  <si>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</si>
  <si>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</si>
  <si>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</si>
  <si>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</si>
  <si>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</si>
  <si>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</si>
  <si>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</si>
  <si>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</si>
  <si>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r>
      <t xml:space="preserve">Pool/Gym Revenue </t>
    </r>
    <r>
      <rPr>
        <i/>
        <sz val="8"/>
        <color theme="1"/>
        <rFont val="Calibri"/>
        <family val="2"/>
        <scheme val="minor"/>
      </rPr>
      <t>**50/50 **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</si>
  <si>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</si>
  <si>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</si>
  <si>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</si>
  <si>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</si>
  <si>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</si>
  <si>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</si>
  <si>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</si>
  <si>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</si>
  <si>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</si>
  <si>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</si>
  <si>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</si>
  <si>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</si>
  <si>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</si>
  <si>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</si>
  <si>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</si>
  <si>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</si>
  <si>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</si>
  <si>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</si>
  <si>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</si>
  <si>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</si>
  <si>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</si>
  <si>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</si>
  <si>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</si>
  <si>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</si>
  <si>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</si>
  <si>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</si>
  <si>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</si>
  <si>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</si>
  <si>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</si>
  <si>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</si>
  <si>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</si>
  <si>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</si>
  <si>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</si>
  <si>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</si>
  <si>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</si>
  <si>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</si>
  <si>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</si>
  <si>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</si>
  <si>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</si>
  <si>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</si>
  <si>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</si>
  <si>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</si>
  <si>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</si>
  <si>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</si>
  <si>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</si>
  <si>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</si>
  <si>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</si>
  <si>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</si>
  <si>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</si>
  <si>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</si>
  <si>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</si>
  <si>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</si>
  <si>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</si>
  <si>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</si>
  <si>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</si>
  <si>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</si>
  <si>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</si>
  <si>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</si>
  <si>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</si>
  <si>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</si>
  <si>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</si>
  <si>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</si>
  <si>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</si>
  <si>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</si>
  <si>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</si>
  <si>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</si>
  <si>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>Day use passes used at either gym or pool get split 50/50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</si>
  <si>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</si>
  <si>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</si>
  <si>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</si>
  <si>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</si>
  <si>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</si>
  <si>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</si>
  <si>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</si>
  <si>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</si>
  <si>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</si>
  <si>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</si>
  <si>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</si>
  <si>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</si>
  <si>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</si>
  <si>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</si>
  <si>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</si>
  <si>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</si>
  <si>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</si>
  <si>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</si>
  <si>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</si>
  <si>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</si>
  <si>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</si>
  <si>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</si>
  <si>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</si>
  <si>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</si>
  <si>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</si>
  <si>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</si>
  <si>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</si>
  <si>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</si>
  <si>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**50/50**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</si>
  <si>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</si>
  <si>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</si>
  <si>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</si>
  <si>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</si>
  <si>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</si>
  <si>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</si>
  <si>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</si>
  <si>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</si>
  <si>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</si>
  <si>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</si>
  <si>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April</t>
  </si>
  <si>
    <t>Credit Card (less processing fees)</t>
  </si>
  <si>
    <t xml:space="preserve"> </t>
  </si>
  <si>
    <t>50-51-6150</t>
  </si>
  <si>
    <t>Child Under 3</t>
  </si>
  <si>
    <t>Concessions</t>
  </si>
  <si>
    <t>BC CC Processing Fees Cleared</t>
  </si>
  <si>
    <t>BC CC Processing Fees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</si>
</sst>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6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41" fontId="0" fillId="0" borderId="1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43" fontId="23" fillId="0" borderId="20" xfId="1" applyNumberFormat="1" applyFont="1" applyBorder="1" applyProtection="1"/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0" fontId="12" fillId="0" borderId="17" xfId="0" applyFont="1" applyFill="1" applyBorder="1" applyAlignment="1" applyProtection="1">
      <alignment horizontal="center"/>
      <protection locked="0"/>
    </xf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0" fontId="12" fillId="0" borderId="63" xfId="0" applyFont="1" applyBorder="1"/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12" fillId="0" borderId="72" xfId="0" applyFont="1" applyBorder="1" applyProtection="1"/>
    <xf numFmtId="0" fontId="12" fillId="0" borderId="73" xfId="0" applyFont="1" applyBorder="1" applyProtection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77" xfId="0" applyNumberFormat="1" applyFont="1" applyBorder="1" applyProtection="1"/>
    <xf numFmtId="41" fontId="0" fillId="0" borderId="78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25" xfId="0" applyNumberFormat="1" applyFont="1" applyFill="1" applyBorder="1" applyProtection="1"/>
    <xf numFmtId="43" fontId="14" fillId="0" borderId="68" xfId="0" applyNumberFormat="1" applyFont="1" applyFill="1" applyBorder="1" applyProtection="1"/>
    <xf numFmtId="43" fontId="12" fillId="0" borderId="63" xfId="0" applyNumberFormat="1" applyFont="1" applyBorder="1"/>
    <xf numFmtId="43" fontId="14" fillId="0" borderId="67" xfId="0" applyNumberFormat="1" applyFont="1" applyFill="1" applyBorder="1" applyProtection="1"/>
    <xf numFmtId="43" fontId="12" fillId="0" borderId="73" xfId="0" applyNumberFormat="1" applyFont="1" applyBorder="1" applyProtection="1"/>
    <xf numFmtId="43" fontId="14" fillId="0" borderId="79" xfId="0" applyNumberFormat="1" applyFont="1" applyFill="1" applyBorder="1" applyProtection="1"/>
    <xf numFmtId="43" fontId="12" fillId="0" borderId="72" xfId="0" applyNumberFormat="1" applyFont="1" applyBorder="1" applyProtection="1"/>
    <xf numFmtId="0" fontId="14" fillId="3" borderId="80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1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2" xfId="0" applyNumberFormat="1" applyFont="1" applyBorder="1" applyProtection="1"/>
    <xf numFmtId="43" fontId="12" fillId="0" borderId="83" xfId="0" applyNumberFormat="1" applyFont="1" applyBorder="1" applyProtection="1"/>
    <xf numFmtId="0" fontId="12" fillId="0" borderId="84" xfId="0" applyFont="1" applyFill="1" applyBorder="1" applyProtection="1"/>
    <xf numFmtId="0" fontId="0" fillId="0" borderId="85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1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41" fontId="21" fillId="0" borderId="2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0" fillId="0" borderId="36" xfId="0" applyBorder="1" applyAlignment="1" applyProtection="1">
      <alignment wrapText="1"/>
      <protection locked="0"/>
    </xf>
    <xf numFmtId="2" fontId="12" fillId="0" borderId="46" xfId="0" applyNumberFormat="1" applyFont="1" applyBorder="1" applyProtection="1"/>
    <xf numFmtId="0" fontId="0" fillId="0" borderId="74" xfId="0" applyBorder="1" applyProtection="1">
      <protection locked="0"/>
    </xf>
    <xf numFmtId="0" fontId="12" fillId="0" borderId="75" xfId="0" applyFont="1" applyBorder="1" applyProtection="1">
      <protection locked="0"/>
    </xf>
    <xf numFmtId="0" fontId="14" fillId="0" borderId="76" xfId="0" applyFont="1" applyFill="1" applyBorder="1" applyProtection="1"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5" fillId="0" borderId="24" xfId="0" applyFont="1" applyBorder="1" applyAlignment="1" applyProtection="1">
      <alignment horizontal="right"/>
    </xf>
    <xf numFmtId="41" fontId="0" fillId="0" borderId="25" xfId="0" applyNumberFormat="1" applyBorder="1" applyProtection="1"/>
    <xf numFmtId="0" fontId="15" fillId="0" borderId="21" xfId="0" applyFont="1" applyBorder="1" applyAlignment="1" applyProtection="1">
      <alignment horizontal="right"/>
    </xf>
    <xf numFmtId="41" fontId="0" fillId="0" borderId="22" xfId="0" applyNumberFormat="1" applyBorder="1" applyProtection="1"/>
    <xf numFmtId="2" fontId="45" fillId="0" borderId="46" xfId="0" applyNumberFormat="1" applyFont="1" applyBorder="1" applyProtection="1"/>
    <xf numFmtId="44" fontId="13" fillId="0" borderId="0" xfId="0" applyNumberFormat="1" applyFont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4" xfId="0" applyFont="1" applyFill="1" applyBorder="1" applyAlignment="1" applyProtection="1">
      <alignment horizontal="center"/>
    </xf>
    <xf numFmtId="0" fontId="2" fillId="2" borderId="75" xfId="0" applyFont="1" applyFill="1" applyBorder="1" applyAlignment="1" applyProtection="1">
      <alignment horizontal="center"/>
    </xf>
    <xf numFmtId="0" fontId="2" fillId="2" borderId="76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0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38" sqref="A38:XFD38"/>
    </sheetView>
  </sheetViews>
  <sheetFormatPr defaultColWidth="8.85546875" defaultRowHeight="12.75" x14ac:dyDescent="0.2"/>
  <cols>
    <col min="1" max="1" width="10.140625" style="2" bestFit="1" customWidth="1"/>
    <col min="2" max="2" width="4.5703125" style="228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7" t="s">
        <v>213</v>
      </c>
      <c r="D1" s="388">
        <v>2022</v>
      </c>
      <c r="G1" s="216"/>
    </row>
    <row r="3" spans="1:22" x14ac:dyDescent="0.2">
      <c r="A3" s="5"/>
    </row>
    <row r="4" spans="1:22" s="1" customFormat="1" x14ac:dyDescent="0.2">
      <c r="B4" s="229"/>
      <c r="C4" s="460" t="s">
        <v>1</v>
      </c>
      <c r="D4" s="461"/>
      <c r="E4" s="461"/>
      <c r="F4" s="461"/>
      <c r="G4" s="461"/>
      <c r="H4" s="461"/>
      <c r="I4" s="461"/>
      <c r="J4" s="461"/>
      <c r="K4" s="461"/>
      <c r="L4" s="461"/>
      <c r="M4" s="462"/>
      <c r="N4" s="6"/>
      <c r="O4" s="463" t="s">
        <v>2</v>
      </c>
      <c r="P4" s="464"/>
      <c r="Q4" s="464"/>
      <c r="R4" s="465"/>
      <c r="S4" s="7"/>
      <c r="T4" s="8" t="s">
        <v>3</v>
      </c>
    </row>
    <row r="5" spans="1:22" x14ac:dyDescent="0.2">
      <c r="B5" s="230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1" t="s">
        <v>7</v>
      </c>
      <c r="J5" s="151" t="s">
        <v>8</v>
      </c>
      <c r="K5" s="151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29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111</v>
      </c>
      <c r="H6" s="14" t="s">
        <v>101</v>
      </c>
      <c r="I6" s="152" t="s">
        <v>12</v>
      </c>
      <c r="J6" s="152" t="s">
        <v>12</v>
      </c>
      <c r="K6" s="152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1"/>
      <c r="C7" s="19"/>
      <c r="D7" s="20"/>
      <c r="E7" s="21"/>
      <c r="F7" s="21"/>
      <c r="G7" s="20"/>
      <c r="H7" s="20"/>
      <c r="I7" s="148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9">
        <v>44652</v>
      </c>
      <c r="B8" s="231" t="str">
        <f>TEXT(A8, "DDD")</f>
        <v>Fri</v>
      </c>
      <c r="C8" s="149">
        <f t="array" ref="C8:C38">TRANSPOSE(Pool!C33:AG33)</f>
        <v>342.5</v>
      </c>
      <c r="D8" s="58">
        <f>'Box Canon'!C18+'Box Canon'!C19</f>
        <v>0</v>
      </c>
      <c r="E8" s="21"/>
      <c r="F8" s="21"/>
      <c r="G8" s="148">
        <f t="array" ref="G8:G38">TRANSPOSE(Pool!C34:AG34)</f>
        <v>2686.92</v>
      </c>
      <c r="H8" s="148">
        <f t="array" ref="H8:H38">TRANSPOSE(Pool!C35:AG35)</f>
        <v>0</v>
      </c>
      <c r="I8" s="148">
        <f>'Box Canon'!C20+'Box Canon'!C21</f>
        <v>0</v>
      </c>
      <c r="J8" s="146"/>
      <c r="K8" s="146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5">
        <f>SUM(A8+1)</f>
        <v>44653</v>
      </c>
      <c r="B9" s="231" t="str">
        <f t="shared" ref="B9:B38" si="0">TEXT(A9, "DDD")</f>
        <v>Sat</v>
      </c>
      <c r="C9" s="149">
        <v>1162.54</v>
      </c>
      <c r="D9" s="58">
        <f>'Box Canon'!D18+'Box Canon'!D19</f>
        <v>0</v>
      </c>
      <c r="E9" s="21"/>
      <c r="F9" s="21"/>
      <c r="G9" s="148">
        <v>4583.26</v>
      </c>
      <c r="H9" s="148">
        <v>0</v>
      </c>
      <c r="I9" s="148">
        <f>'Box Canon'!D20+'Box Canon'!D21</f>
        <v>0</v>
      </c>
      <c r="J9" s="146"/>
      <c r="K9" s="146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5">
        <f t="shared" ref="A10:A38" si="1">SUM(A9+1)</f>
        <v>44654</v>
      </c>
      <c r="B10" s="231" t="str">
        <f t="shared" si="0"/>
        <v>Sun</v>
      </c>
      <c r="C10" s="149">
        <v>621.98</v>
      </c>
      <c r="D10" s="58">
        <f>'Box Canon'!E18+'Box Canon'!E19</f>
        <v>0</v>
      </c>
      <c r="E10" s="21"/>
      <c r="F10" s="21"/>
      <c r="G10" s="148">
        <v>1822.21</v>
      </c>
      <c r="H10" s="148">
        <v>0</v>
      </c>
      <c r="I10" s="148">
        <f>'Box Canon'!E20+'Box Canon'!E21</f>
        <v>0</v>
      </c>
      <c r="J10" s="146"/>
      <c r="K10" s="146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5">
        <f t="shared" si="1"/>
        <v>44655</v>
      </c>
      <c r="B11" s="231" t="str">
        <f t="shared" si="0"/>
        <v>Mon</v>
      </c>
      <c r="C11" s="149">
        <v>611.35</v>
      </c>
      <c r="D11" s="58">
        <f>'Box Canon'!F18+'Box Canon'!F19</f>
        <v>0</v>
      </c>
      <c r="E11" s="21"/>
      <c r="F11" s="21"/>
      <c r="G11" s="148">
        <v>2392.39</v>
      </c>
      <c r="H11" s="150">
        <v>0</v>
      </c>
      <c r="I11" s="148">
        <f>'Box Canon'!F20+'Box Canon'!F21</f>
        <v>0</v>
      </c>
      <c r="J11" s="146"/>
      <c r="K11" s="146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5">
        <f t="shared" si="1"/>
        <v>44656</v>
      </c>
      <c r="B12" s="231" t="str">
        <f t="shared" si="0"/>
        <v>Tue</v>
      </c>
      <c r="C12" s="149">
        <v>0</v>
      </c>
      <c r="D12" s="58">
        <f>'Box Canon'!G18+'Box Canon'!G19</f>
        <v>0</v>
      </c>
      <c r="E12" s="21"/>
      <c r="F12" s="21"/>
      <c r="G12" s="148">
        <v>0</v>
      </c>
      <c r="H12" s="150">
        <v>0</v>
      </c>
      <c r="I12" s="148">
        <f>'Box Canon'!G20+'Box Canon'!G21</f>
        <v>0</v>
      </c>
      <c r="J12" s="146"/>
      <c r="K12" s="146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5">
        <f t="shared" si="1"/>
        <v>44657</v>
      </c>
      <c r="B13" s="231" t="str">
        <f t="shared" si="0"/>
        <v>Wed</v>
      </c>
      <c r="C13" s="149">
        <v>360.81</v>
      </c>
      <c r="D13" s="58">
        <f>'Box Canon'!H18+'Box Canon'!H19</f>
        <v>0</v>
      </c>
      <c r="E13" s="21"/>
      <c r="F13" s="21"/>
      <c r="G13" s="148">
        <v>2193.71</v>
      </c>
      <c r="H13" s="150">
        <v>0</v>
      </c>
      <c r="I13" s="148">
        <f>'Box Canon'!H20+'Box Canon'!H21</f>
        <v>0</v>
      </c>
      <c r="J13" s="146"/>
      <c r="K13" s="146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5">
        <f t="shared" si="1"/>
        <v>44658</v>
      </c>
      <c r="B14" s="231" t="str">
        <f t="shared" si="0"/>
        <v>Thu</v>
      </c>
      <c r="C14" s="149">
        <v>575.01</v>
      </c>
      <c r="D14" s="58">
        <f>'Box Canon'!I18+'Box Canon'!I19</f>
        <v>0</v>
      </c>
      <c r="E14" s="21"/>
      <c r="F14" s="21"/>
      <c r="G14" s="148">
        <v>1568.75</v>
      </c>
      <c r="H14" s="150">
        <v>0</v>
      </c>
      <c r="I14" s="148">
        <f>'Box Canon'!I20+'Box Canon'!I21</f>
        <v>0</v>
      </c>
      <c r="J14" s="146"/>
      <c r="K14" s="146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5">
        <f t="shared" si="1"/>
        <v>44659</v>
      </c>
      <c r="B15" s="231" t="str">
        <f t="shared" si="0"/>
        <v>Fri</v>
      </c>
      <c r="C15" s="149">
        <v>368.8</v>
      </c>
      <c r="D15" s="58">
        <f>'Box Canon'!J18+'Box Canon'!J19</f>
        <v>0</v>
      </c>
      <c r="E15" s="21"/>
      <c r="F15" s="21"/>
      <c r="G15" s="148">
        <v>2753.28</v>
      </c>
      <c r="H15" s="150">
        <v>0</v>
      </c>
      <c r="I15" s="148">
        <f>'Box Canon'!J20+'Box Canon'!J21</f>
        <v>0</v>
      </c>
      <c r="J15" s="146"/>
      <c r="K15" s="146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5">
        <f t="shared" si="1"/>
        <v>44660</v>
      </c>
      <c r="B16" s="231" t="str">
        <f t="shared" si="0"/>
        <v>Sat</v>
      </c>
      <c r="C16" s="149">
        <v>1044.67</v>
      </c>
      <c r="D16" s="58">
        <f>'Box Canon'!K18+'Box Canon'!K19</f>
        <v>0</v>
      </c>
      <c r="E16" s="21"/>
      <c r="F16" s="21"/>
      <c r="G16" s="148">
        <v>4103.58</v>
      </c>
      <c r="H16" s="150">
        <v>0</v>
      </c>
      <c r="I16" s="148">
        <f>'Box Canon'!K20+'Box Canon'!K21</f>
        <v>0</v>
      </c>
      <c r="J16" s="146"/>
      <c r="K16" s="146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5">
        <f t="shared" si="1"/>
        <v>44661</v>
      </c>
      <c r="B17" s="231" t="str">
        <f t="shared" si="0"/>
        <v>Sun</v>
      </c>
      <c r="C17" s="149">
        <v>794.38</v>
      </c>
      <c r="D17" s="58">
        <f>'Box Canon'!L18+'Box Canon'!L19</f>
        <v>0</v>
      </c>
      <c r="E17" s="21"/>
      <c r="F17" s="21"/>
      <c r="G17" s="148">
        <v>1843.07</v>
      </c>
      <c r="H17" s="150">
        <v>0</v>
      </c>
      <c r="I17" s="148">
        <f>'Box Canon'!L20+'Box Canon'!L21</f>
        <v>0</v>
      </c>
      <c r="J17" s="146"/>
      <c r="K17" s="146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5">
        <f t="shared" si="1"/>
        <v>44662</v>
      </c>
      <c r="B18" s="231" t="str">
        <f t="shared" si="0"/>
        <v>Mon</v>
      </c>
      <c r="C18" s="149">
        <v>359.92</v>
      </c>
      <c r="D18" s="58">
        <f>'Box Canon'!M18+'Box Canon'!M19</f>
        <v>0</v>
      </c>
      <c r="E18" s="21"/>
      <c r="F18" s="21"/>
      <c r="G18" s="148">
        <v>1508.22</v>
      </c>
      <c r="H18" s="150">
        <v>0</v>
      </c>
      <c r="I18" s="148">
        <f>'Box Canon'!M20+'Box Canon'!M21</f>
        <v>0</v>
      </c>
      <c r="J18" s="146"/>
      <c r="K18" s="147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5">
        <f t="shared" si="1"/>
        <v>44663</v>
      </c>
      <c r="B19" s="231" t="str">
        <f t="shared" si="0"/>
        <v>Tue</v>
      </c>
      <c r="C19" s="149">
        <v>0</v>
      </c>
      <c r="D19" s="58">
        <f>'Box Canon'!N18+'Box Canon'!N19</f>
        <v>0</v>
      </c>
      <c r="E19" s="21"/>
      <c r="F19" s="21"/>
      <c r="G19" s="148">
        <v>0</v>
      </c>
      <c r="H19" s="150">
        <v>0</v>
      </c>
      <c r="I19" s="148">
        <f>'Box Canon'!N20+'Box Canon'!N21</f>
        <v>0</v>
      </c>
      <c r="J19" s="146"/>
      <c r="K19" s="146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5">
        <f t="shared" si="1"/>
        <v>44664</v>
      </c>
      <c r="B20" s="231" t="str">
        <f t="shared" si="0"/>
        <v>Wed</v>
      </c>
      <c r="C20" s="149">
        <v>241.88</v>
      </c>
      <c r="D20" s="58">
        <f>'Box Canon'!O18+'Box Canon'!O19</f>
        <v>0</v>
      </c>
      <c r="E20" s="21"/>
      <c r="F20" s="21"/>
      <c r="G20" s="148">
        <v>904.44</v>
      </c>
      <c r="H20" s="150">
        <v>0</v>
      </c>
      <c r="I20" s="148">
        <f>'Box Canon'!O20+'Box Canon'!O21</f>
        <v>0</v>
      </c>
      <c r="J20" s="146"/>
      <c r="K20" s="146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5">
        <f t="shared" si="1"/>
        <v>44665</v>
      </c>
      <c r="B21" s="231" t="str">
        <f t="shared" si="0"/>
        <v>Thu</v>
      </c>
      <c r="C21" s="149">
        <v>220.78</v>
      </c>
      <c r="D21" s="58">
        <f>'Box Canon'!P18+'Box Canon'!P19</f>
        <v>0</v>
      </c>
      <c r="E21" s="41"/>
      <c r="F21" s="21"/>
      <c r="G21" s="148">
        <v>975.9</v>
      </c>
      <c r="H21" s="150">
        <v>0</v>
      </c>
      <c r="I21" s="148">
        <f>'Box Canon'!P20+'Box Canon'!P21</f>
        <v>0</v>
      </c>
      <c r="J21" s="146"/>
      <c r="K21" s="146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5">
        <f t="shared" si="1"/>
        <v>44666</v>
      </c>
      <c r="B22" s="231" t="str">
        <f t="shared" si="0"/>
        <v>Fri</v>
      </c>
      <c r="C22" s="149">
        <v>1034.73</v>
      </c>
      <c r="D22" s="58">
        <f>'Box Canon'!Q18+'Box Canon'!Q19</f>
        <v>0</v>
      </c>
      <c r="E22" s="21"/>
      <c r="F22" s="21"/>
      <c r="G22" s="148">
        <v>1995.59</v>
      </c>
      <c r="H22" s="150">
        <v>0</v>
      </c>
      <c r="I22" s="148">
        <f>'Box Canon'!Q20+'Box Canon'!Q21</f>
        <v>0</v>
      </c>
      <c r="J22" s="146"/>
      <c r="K22" s="146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5">
        <f t="shared" si="1"/>
        <v>44667</v>
      </c>
      <c r="B23" s="231" t="str">
        <f t="shared" si="0"/>
        <v>Sat</v>
      </c>
      <c r="C23" s="149">
        <v>854.01</v>
      </c>
      <c r="D23" s="58">
        <f>'Box Canon'!R18+'Box Canon'!R19</f>
        <v>0</v>
      </c>
      <c r="E23" s="21"/>
      <c r="F23" s="21"/>
      <c r="G23" s="148">
        <v>3518.65</v>
      </c>
      <c r="H23" s="150">
        <v>0</v>
      </c>
      <c r="I23" s="148">
        <f>'Box Canon'!R20+'Box Canon'!R21</f>
        <v>0</v>
      </c>
      <c r="J23" s="146"/>
      <c r="K23" s="146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5">
        <f t="shared" si="1"/>
        <v>44668</v>
      </c>
      <c r="B24" s="231" t="str">
        <f t="shared" si="0"/>
        <v>Sun</v>
      </c>
      <c r="C24" s="149">
        <v>1022.8</v>
      </c>
      <c r="D24" s="58">
        <f>'Box Canon'!S18+'Box Canon'!S19</f>
        <v>0</v>
      </c>
      <c r="E24" s="21"/>
      <c r="F24" s="21"/>
      <c r="G24" s="148">
        <v>1899.65</v>
      </c>
      <c r="H24" s="150">
        <v>0</v>
      </c>
      <c r="I24" s="148">
        <f>'Box Canon'!S20+'Box Canon'!S21</f>
        <v>0</v>
      </c>
      <c r="J24" s="146"/>
      <c r="K24" s="146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5">
        <f t="shared" si="1"/>
        <v>44669</v>
      </c>
      <c r="B25" s="231" t="str">
        <f t="shared" si="0"/>
        <v>Mon</v>
      </c>
      <c r="C25" s="149">
        <v>40</v>
      </c>
      <c r="D25" s="58">
        <f>'Box Canon'!T18+'Box Canon'!T19</f>
        <v>0</v>
      </c>
      <c r="E25" s="21"/>
      <c r="F25" s="21"/>
      <c r="G25" s="148">
        <v>0</v>
      </c>
      <c r="H25" s="150">
        <v>0</v>
      </c>
      <c r="I25" s="148">
        <f>'Box Canon'!T20+'Box Canon'!T21</f>
        <v>0</v>
      </c>
      <c r="J25" s="146"/>
      <c r="K25" s="146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5">
        <f t="shared" si="1"/>
        <v>44670</v>
      </c>
      <c r="B26" s="231" t="str">
        <f t="shared" si="0"/>
        <v>Tue</v>
      </c>
      <c r="C26" s="149">
        <v>0</v>
      </c>
      <c r="D26" s="58">
        <f>'Box Canon'!U18+'Box Canon'!U19</f>
        <v>0</v>
      </c>
      <c r="E26" s="21"/>
      <c r="F26" s="21"/>
      <c r="G26" s="148">
        <v>0</v>
      </c>
      <c r="H26" s="150">
        <v>0</v>
      </c>
      <c r="I26" s="148">
        <f>'Box Canon'!U20+'Box Canon'!U21</f>
        <v>0</v>
      </c>
      <c r="J26" s="146"/>
      <c r="K26" s="146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5">
        <f t="shared" si="1"/>
        <v>44671</v>
      </c>
      <c r="B27" s="231" t="str">
        <f t="shared" si="0"/>
        <v>Wed</v>
      </c>
      <c r="C27" s="149">
        <v>0</v>
      </c>
      <c r="D27" s="58">
        <f>'Box Canon'!V18+'Box Canon'!V19</f>
        <v>0</v>
      </c>
      <c r="E27" s="21"/>
      <c r="F27" s="21"/>
      <c r="G27" s="148">
        <v>0</v>
      </c>
      <c r="H27" s="150">
        <v>0</v>
      </c>
      <c r="I27" s="148">
        <f>'Box Canon'!V20+'Box Canon'!V21</f>
        <v>0</v>
      </c>
      <c r="J27" s="146"/>
      <c r="K27" s="146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5">
        <f t="shared" si="1"/>
        <v>44672</v>
      </c>
      <c r="B28" s="231" t="str">
        <f t="shared" si="0"/>
        <v>Thu</v>
      </c>
      <c r="C28" s="149">
        <v>0</v>
      </c>
      <c r="D28" s="58">
        <f>'Box Canon'!W18+'Box Canon'!W19</f>
        <v>0</v>
      </c>
      <c r="E28" s="21"/>
      <c r="F28" s="21"/>
      <c r="G28" s="148">
        <v>0</v>
      </c>
      <c r="H28" s="150">
        <v>0</v>
      </c>
      <c r="I28" s="148">
        <f>'Box Canon'!W20+'Box Canon'!W21</f>
        <v>0</v>
      </c>
      <c r="J28" s="146"/>
      <c r="K28" s="146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5">
        <f t="shared" si="1"/>
        <v>44673</v>
      </c>
      <c r="B29" s="231" t="str">
        <f t="shared" si="0"/>
        <v>Fri</v>
      </c>
      <c r="C29" s="149">
        <v>0</v>
      </c>
      <c r="D29" s="58">
        <f>'Box Canon'!X18+'Box Canon'!X19</f>
        <v>0</v>
      </c>
      <c r="E29" s="21"/>
      <c r="F29" s="21"/>
      <c r="G29" s="148">
        <v>0</v>
      </c>
      <c r="H29" s="150">
        <v>0</v>
      </c>
      <c r="I29" s="148">
        <f>'Box Canon'!X20+'Box Canon'!X21</f>
        <v>0</v>
      </c>
      <c r="J29" s="146"/>
      <c r="K29" s="146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5">
        <f t="shared" si="1"/>
        <v>44674</v>
      </c>
      <c r="B30" s="231" t="str">
        <f t="shared" si="0"/>
        <v>Sat</v>
      </c>
      <c r="C30" s="149">
        <v>1058.78</v>
      </c>
      <c r="D30" s="58">
        <f>'Box Canon'!Y18+'Box Canon'!Y19</f>
        <v>0</v>
      </c>
      <c r="E30" s="21"/>
      <c r="F30" s="21"/>
      <c r="G30" s="148">
        <v>4905.1000000000004</v>
      </c>
      <c r="H30" s="150">
        <v>0</v>
      </c>
      <c r="I30" s="148">
        <f>'Box Canon'!Y20+'Box Canon'!Y21</f>
        <v>0</v>
      </c>
      <c r="J30" s="146"/>
      <c r="K30" s="146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5">
        <f t="shared" si="1"/>
        <v>44675</v>
      </c>
      <c r="B31" s="231" t="str">
        <f t="shared" si="0"/>
        <v>Sun</v>
      </c>
      <c r="C31" s="149">
        <v>892.01</v>
      </c>
      <c r="D31" s="58">
        <f>'Box Canon'!Z18+'Box Canon'!Z19</f>
        <v>0</v>
      </c>
      <c r="E31" s="21"/>
      <c r="F31" s="21"/>
      <c r="G31" s="148">
        <v>3719.21</v>
      </c>
      <c r="H31" s="150">
        <v>0</v>
      </c>
      <c r="I31" s="148">
        <f>'Box Canon'!Z20+'Box Canon'!Z21</f>
        <v>0</v>
      </c>
      <c r="J31" s="146"/>
      <c r="K31" s="146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5">
        <f t="shared" si="1"/>
        <v>44676</v>
      </c>
      <c r="B32" s="231" t="str">
        <f t="shared" si="0"/>
        <v>Mon</v>
      </c>
      <c r="C32" s="149">
        <v>550.66</v>
      </c>
      <c r="D32" s="58">
        <f>'Box Canon'!AA18+'Box Canon'!AA19</f>
        <v>0</v>
      </c>
      <c r="E32" s="21"/>
      <c r="F32" s="21"/>
      <c r="G32" s="148">
        <v>1596.51</v>
      </c>
      <c r="H32" s="150">
        <v>0</v>
      </c>
      <c r="I32" s="148">
        <f>'Box Canon'!AA20+'Box Canon'!AA21</f>
        <v>0</v>
      </c>
      <c r="J32" s="146"/>
      <c r="K32" s="146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5">
        <f t="shared" si="1"/>
        <v>44677</v>
      </c>
      <c r="B33" s="231" t="str">
        <f t="shared" si="0"/>
        <v>Tue</v>
      </c>
      <c r="C33" s="149">
        <v>352.83</v>
      </c>
      <c r="D33" s="58">
        <f>'Box Canon'!AB18+'Box Canon'!AB19</f>
        <v>0</v>
      </c>
      <c r="E33" s="21"/>
      <c r="F33" s="21"/>
      <c r="G33" s="148">
        <v>569.21</v>
      </c>
      <c r="H33" s="150">
        <v>0</v>
      </c>
      <c r="I33" s="148">
        <f>'Box Canon'!AB20+'Box Canon'!AB21</f>
        <v>0</v>
      </c>
      <c r="J33" s="146"/>
      <c r="K33" s="146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5">
        <f t="shared" si="1"/>
        <v>44678</v>
      </c>
      <c r="B34" s="231" t="str">
        <f t="shared" si="0"/>
        <v>Wed</v>
      </c>
      <c r="C34" s="149">
        <v>355</v>
      </c>
      <c r="D34" s="58">
        <f>'Box Canon'!AC18+'Box Canon'!AC19</f>
        <v>0</v>
      </c>
      <c r="E34" s="21"/>
      <c r="F34" s="21"/>
      <c r="G34" s="148">
        <v>788.5</v>
      </c>
      <c r="H34" s="150">
        <v>0</v>
      </c>
      <c r="I34" s="148">
        <f>'Box Canon'!AC20+'Box Canon'!AC21</f>
        <v>0</v>
      </c>
      <c r="J34" s="146"/>
      <c r="K34" s="146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5">
        <f t="shared" si="1"/>
        <v>44679</v>
      </c>
      <c r="B35" s="231" t="str">
        <f t="shared" si="0"/>
        <v>Thu</v>
      </c>
      <c r="C35" s="149">
        <v>412.01</v>
      </c>
      <c r="D35" s="58">
        <f>'Box Canon'!AD18+'Box Canon'!AD19</f>
        <v>0</v>
      </c>
      <c r="E35" s="21"/>
      <c r="F35" s="21"/>
      <c r="G35" s="148">
        <v>2509.6999999999998</v>
      </c>
      <c r="H35" s="150">
        <v>0</v>
      </c>
      <c r="I35" s="148">
        <f>'Box Canon'!AD20+'Box Canon'!AD21</f>
        <v>24.86</v>
      </c>
      <c r="J35" s="146"/>
      <c r="K35" s="146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5">
        <f t="shared" si="1"/>
        <v>44680</v>
      </c>
      <c r="B36" s="231" t="str">
        <f t="shared" si="0"/>
        <v>Fri</v>
      </c>
      <c r="C36" s="149">
        <v>507.36</v>
      </c>
      <c r="D36" s="58">
        <f>'Box Canon'!AE18+'Box Canon'!AE19</f>
        <v>415.02</v>
      </c>
      <c r="E36" s="42"/>
      <c r="F36" s="21"/>
      <c r="G36" s="148">
        <v>3722.92</v>
      </c>
      <c r="H36" s="150">
        <v>0</v>
      </c>
      <c r="I36" s="148">
        <f>'Box Canon'!AE20+'Box Canon'!AE21</f>
        <v>145</v>
      </c>
      <c r="J36" s="146"/>
      <c r="K36" s="146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5">
        <f t="shared" si="1"/>
        <v>44681</v>
      </c>
      <c r="B37" s="231" t="str">
        <f t="shared" si="0"/>
        <v>Sat</v>
      </c>
      <c r="C37" s="149">
        <v>64724.4</v>
      </c>
      <c r="D37" s="58">
        <f>'Box Canon'!AF18+'Box Canon'!AF19</f>
        <v>285.70999999999998</v>
      </c>
      <c r="E37" s="21"/>
      <c r="F37" s="21"/>
      <c r="G37" s="148">
        <v>4948.7299999999996</v>
      </c>
      <c r="H37" s="150">
        <v>0</v>
      </c>
      <c r="I37" s="148">
        <f>'Box Canon'!AF20+'Box Canon'!AF21</f>
        <v>746.41</v>
      </c>
      <c r="J37" s="146"/>
      <c r="K37" s="146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5">
        <f t="shared" si="1"/>
        <v>44682</v>
      </c>
      <c r="B38" s="231" t="str">
        <f t="shared" si="0"/>
        <v>Sun</v>
      </c>
      <c r="C38" s="149">
        <v>0</v>
      </c>
      <c r="D38" s="58">
        <f>'Box Canon'!AG18+'Box Canon'!AG19</f>
        <v>0</v>
      </c>
      <c r="E38" s="21"/>
      <c r="F38" s="21"/>
      <c r="G38" s="148">
        <v>0</v>
      </c>
      <c r="H38" s="150">
        <v>0</v>
      </c>
      <c r="I38" s="148">
        <f>'Box Canon'!AG20+'Box Canon'!AG21</f>
        <v>0</v>
      </c>
      <c r="J38" s="146"/>
      <c r="K38" s="146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2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3"/>
      <c r="C40" s="168">
        <f>SUM(C8:C39)</f>
        <v>78509.210000000006</v>
      </c>
      <c r="D40" s="168">
        <f t="shared" ref="D40:M40" si="2">SUM(D8:D39)</f>
        <v>700.73</v>
      </c>
      <c r="E40" s="169">
        <f t="shared" si="2"/>
        <v>0</v>
      </c>
      <c r="F40" s="169">
        <f t="shared" si="2"/>
        <v>0</v>
      </c>
      <c r="G40" s="168">
        <f>SUM(G8:G38)</f>
        <v>57509.5</v>
      </c>
      <c r="H40" s="168">
        <f>SUM(H8:H38)</f>
        <v>0</v>
      </c>
      <c r="I40" s="168">
        <f>SUM(I8:I38)</f>
        <v>916.27</v>
      </c>
      <c r="J40" s="168">
        <f t="shared" si="2"/>
        <v>0</v>
      </c>
      <c r="K40" s="168">
        <f t="shared" si="2"/>
        <v>0</v>
      </c>
      <c r="L40" s="169">
        <f t="shared" si="2"/>
        <v>0</v>
      </c>
      <c r="M40" s="169">
        <f t="shared" si="2"/>
        <v>0</v>
      </c>
      <c r="N40" s="170"/>
      <c r="O40" s="171">
        <f>SUM(O8:O39)</f>
        <v>0</v>
      </c>
      <c r="P40" s="171">
        <f>SUM(P8:P39)</f>
        <v>0</v>
      </c>
      <c r="Q40" s="171">
        <f>SUM(Q8:Q39)</f>
        <v>0</v>
      </c>
      <c r="R40" s="171">
        <f>SUM(R8:R39)</f>
        <v>0</v>
      </c>
      <c r="S40" s="172"/>
      <c r="T40" s="173">
        <f>SUM(C40:R40)-M40-P40+T7</f>
        <v>137635.71</v>
      </c>
      <c r="U40" s="18"/>
      <c r="V40" s="18"/>
    </row>
    <row r="41" spans="1:22" ht="13.5" thickTop="1" x14ac:dyDescent="0.2">
      <c r="B41" s="233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3"/>
      <c r="M42" s="174">
        <f>C40+D40+J40+K40+M40</f>
        <v>79209.94</v>
      </c>
      <c r="N42" s="170"/>
      <c r="O42" s="175">
        <f>+O40-P40</f>
        <v>0</v>
      </c>
      <c r="P42" s="174"/>
      <c r="Q42" s="175">
        <f>+P40+Q40</f>
        <v>0</v>
      </c>
      <c r="R42" s="174">
        <f>O40+Q40+R40</f>
        <v>0</v>
      </c>
      <c r="S42" s="23"/>
      <c r="T42" s="18"/>
      <c r="U42" s="18"/>
      <c r="V42" s="18"/>
    </row>
    <row r="43" spans="1:22" x14ac:dyDescent="0.2">
      <c r="A43" s="49"/>
      <c r="B43" s="233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3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3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3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3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3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3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3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3"/>
      <c r="C51" s="55"/>
      <c r="N51" s="23"/>
      <c r="O51" s="18"/>
      <c r="P51" s="18"/>
      <c r="Q51" s="18"/>
      <c r="U51" s="18"/>
      <c r="V51" s="18"/>
    </row>
    <row r="52" spans="1:22" x14ac:dyDescent="0.2">
      <c r="B52" s="233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3"/>
      <c r="C53" s="55"/>
      <c r="N53" s="23"/>
      <c r="O53" s="18"/>
      <c r="P53" s="18"/>
      <c r="Q53" s="18"/>
      <c r="U53" s="18"/>
      <c r="V53" s="18"/>
    </row>
    <row r="54" spans="1:22" x14ac:dyDescent="0.2">
      <c r="B54" s="233"/>
      <c r="C54" s="55"/>
      <c r="N54" s="23"/>
      <c r="O54" s="18"/>
      <c r="P54" s="18"/>
      <c r="Q54" s="18"/>
      <c r="U54" s="18"/>
      <c r="V54" s="18"/>
    </row>
    <row r="55" spans="1:22" x14ac:dyDescent="0.2">
      <c r="B55" s="233"/>
      <c r="N55" s="23"/>
      <c r="O55" s="18"/>
      <c r="P55" s="18"/>
      <c r="Q55" s="18"/>
      <c r="U55" s="18"/>
      <c r="V55" s="18"/>
    </row>
    <row r="56" spans="1:22" x14ac:dyDescent="0.2">
      <c r="B56" s="233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3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3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3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3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3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3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3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3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3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3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3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3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3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3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3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3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3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3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3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3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3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3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3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3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3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3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3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3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3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3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3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3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3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3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3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3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3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3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3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3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3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3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3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3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3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Z15" activePane="bottomRight" state="frozen"/>
      <selection pane="topRight" activeCell="C1" sqref="C1"/>
      <selection pane="bottomLeft" activeCell="A3" sqref="A3"/>
      <selection pane="bottomRight" activeCell="AF46" sqref="AF46"/>
    </sheetView>
  </sheetViews>
  <sheetFormatPr defaultRowHeight="15.75" x14ac:dyDescent="0.25"/>
  <cols>
    <col min="1" max="1" width="10.42578125" style="59" bestFit="1" customWidth="1"/>
    <col min="2" max="2" width="33.85546875" style="60" bestFit="1" customWidth="1"/>
    <col min="3" max="31" width="10" style="60" customWidth="1"/>
    <col min="32" max="32" width="10.5703125" style="60" bestFit="1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67" t="s">
        <v>124</v>
      </c>
      <c r="B1" s="381" t="str">
        <f>'Cash Flow'!C1</f>
        <v>April</v>
      </c>
      <c r="C1" s="227" t="str">
        <f t="array" ref="C1:AG1">TRANSPOSE('Cash Flow'!B8:B38)</f>
        <v>Fri</v>
      </c>
      <c r="D1" s="227" t="str">
        <v>Sat</v>
      </c>
      <c r="E1" s="227" t="str">
        <v>Sun</v>
      </c>
      <c r="F1" s="227" t="str">
        <v>Mon</v>
      </c>
      <c r="G1" s="227" t="str">
        <v>Tue</v>
      </c>
      <c r="H1" s="227" t="str">
        <v>Wed</v>
      </c>
      <c r="I1" s="227" t="str">
        <v>Thu</v>
      </c>
      <c r="J1" s="227" t="str">
        <v>Fri</v>
      </c>
      <c r="K1" s="227" t="str">
        <v>Sat</v>
      </c>
      <c r="L1" s="227" t="str">
        <v>Sun</v>
      </c>
      <c r="M1" s="227" t="str">
        <v>Mon</v>
      </c>
      <c r="N1" s="227" t="str">
        <v>Tue</v>
      </c>
      <c r="O1" s="227" t="str">
        <v>Wed</v>
      </c>
      <c r="P1" s="227" t="str">
        <v>Thu</v>
      </c>
      <c r="Q1" s="227" t="str">
        <v>Fri</v>
      </c>
      <c r="R1" s="227" t="str">
        <v>Sat</v>
      </c>
      <c r="S1" s="227" t="str">
        <v>Sun</v>
      </c>
      <c r="T1" s="227" t="str">
        <v>Mon</v>
      </c>
      <c r="U1" s="227" t="str">
        <v>Tue</v>
      </c>
      <c r="V1" s="227" t="str">
        <v>Wed</v>
      </c>
      <c r="W1" s="227" t="str">
        <v>Thu</v>
      </c>
      <c r="X1" s="227" t="str">
        <v>Fri</v>
      </c>
      <c r="Y1" s="227" t="str">
        <v>Sat</v>
      </c>
      <c r="Z1" s="227" t="str">
        <v>Sun</v>
      </c>
      <c r="AA1" s="227" t="str">
        <v>Mon</v>
      </c>
      <c r="AB1" s="227" t="str">
        <v>Tue</v>
      </c>
      <c r="AC1" s="227" t="str">
        <v>Wed</v>
      </c>
      <c r="AD1" s="227" t="str">
        <v>Thu</v>
      </c>
      <c r="AE1" s="227" t="str">
        <v>Fri</v>
      </c>
      <c r="AF1" s="227" t="str">
        <v>Sat</v>
      </c>
      <c r="AG1" s="227" t="str">
        <v>Sun</v>
      </c>
    </row>
    <row r="2" spans="1:39" s="60" customFormat="1" ht="16.5" thickBot="1" x14ac:dyDescent="0.3">
      <c r="A2" s="63" t="s">
        <v>67</v>
      </c>
      <c r="B2" s="64" t="s">
        <v>133</v>
      </c>
      <c r="C2" s="106">
        <f>'Cash Flow'!A8</f>
        <v>44652</v>
      </c>
      <c r="D2" s="106">
        <f>C2+1</f>
        <v>44653</v>
      </c>
      <c r="E2" s="106">
        <f>D2+1</f>
        <v>44654</v>
      </c>
      <c r="F2" s="106">
        <f t="shared" ref="F2:AG2" si="0">E2+1</f>
        <v>44655</v>
      </c>
      <c r="G2" s="106">
        <f t="shared" si="0"/>
        <v>44656</v>
      </c>
      <c r="H2" s="106">
        <f t="shared" si="0"/>
        <v>44657</v>
      </c>
      <c r="I2" s="106">
        <f t="shared" si="0"/>
        <v>44658</v>
      </c>
      <c r="J2" s="106">
        <f t="shared" si="0"/>
        <v>44659</v>
      </c>
      <c r="K2" s="106">
        <f t="shared" si="0"/>
        <v>44660</v>
      </c>
      <c r="L2" s="106">
        <f t="shared" si="0"/>
        <v>44661</v>
      </c>
      <c r="M2" s="106">
        <f t="shared" si="0"/>
        <v>44662</v>
      </c>
      <c r="N2" s="106">
        <f t="shared" si="0"/>
        <v>44663</v>
      </c>
      <c r="O2" s="106">
        <f t="shared" si="0"/>
        <v>44664</v>
      </c>
      <c r="P2" s="106">
        <f t="shared" si="0"/>
        <v>44665</v>
      </c>
      <c r="Q2" s="106">
        <f t="shared" si="0"/>
        <v>44666</v>
      </c>
      <c r="R2" s="106">
        <f t="shared" si="0"/>
        <v>44667</v>
      </c>
      <c r="S2" s="106">
        <f t="shared" si="0"/>
        <v>44668</v>
      </c>
      <c r="T2" s="106">
        <f t="shared" si="0"/>
        <v>44669</v>
      </c>
      <c r="U2" s="106">
        <f t="shared" si="0"/>
        <v>44670</v>
      </c>
      <c r="V2" s="106">
        <f t="shared" si="0"/>
        <v>44671</v>
      </c>
      <c r="W2" s="106">
        <f t="shared" si="0"/>
        <v>44672</v>
      </c>
      <c r="X2" s="106">
        <f t="shared" si="0"/>
        <v>44673</v>
      </c>
      <c r="Y2" s="106">
        <f t="shared" si="0"/>
        <v>44674</v>
      </c>
      <c r="Z2" s="106">
        <f t="shared" si="0"/>
        <v>44675</v>
      </c>
      <c r="AA2" s="106">
        <f t="shared" si="0"/>
        <v>44676</v>
      </c>
      <c r="AB2" s="106">
        <f t="shared" si="0"/>
        <v>44677</v>
      </c>
      <c r="AC2" s="106">
        <f t="shared" si="0"/>
        <v>44678</v>
      </c>
      <c r="AD2" s="106">
        <f t="shared" si="0"/>
        <v>44679</v>
      </c>
      <c r="AE2" s="106">
        <f t="shared" si="0"/>
        <v>44680</v>
      </c>
      <c r="AF2" s="106">
        <f t="shared" si="0"/>
        <v>44681</v>
      </c>
      <c r="AG2" s="106">
        <f t="shared" si="0"/>
        <v>44682</v>
      </c>
      <c r="AH2" s="65" t="s">
        <v>59</v>
      </c>
      <c r="AI2" s="62"/>
      <c r="AJ2" s="63" t="s">
        <v>67</v>
      </c>
      <c r="AK2" s="64" t="s">
        <v>133</v>
      </c>
    </row>
    <row r="3" spans="1:39" x14ac:dyDescent="0.25">
      <c r="A3" s="66" t="s">
        <v>61</v>
      </c>
      <c r="B3" s="67" t="s">
        <v>62</v>
      </c>
      <c r="C3" s="68">
        <v>18.72</v>
      </c>
      <c r="D3" s="182">
        <v>27.55</v>
      </c>
      <c r="E3" s="182">
        <v>6.23</v>
      </c>
      <c r="F3" s="182">
        <v>19.45</v>
      </c>
      <c r="G3" s="182"/>
      <c r="H3" s="182">
        <v>10.02</v>
      </c>
      <c r="I3" s="182">
        <v>6.46</v>
      </c>
      <c r="J3" s="182">
        <v>3.51</v>
      </c>
      <c r="K3" s="182">
        <v>24.14</v>
      </c>
      <c r="L3" s="182">
        <v>9.39</v>
      </c>
      <c r="M3" s="182">
        <v>16.39</v>
      </c>
      <c r="N3" s="182"/>
      <c r="O3" s="182">
        <v>7.93</v>
      </c>
      <c r="P3" s="182">
        <v>8.66</v>
      </c>
      <c r="Q3" s="182">
        <v>20.59</v>
      </c>
      <c r="R3" s="182">
        <v>28.06</v>
      </c>
      <c r="S3" s="182">
        <v>15.69</v>
      </c>
      <c r="T3" s="182"/>
      <c r="U3" s="182"/>
      <c r="V3" s="182"/>
      <c r="W3" s="182"/>
      <c r="X3" s="182"/>
      <c r="Y3" s="182">
        <v>45.01</v>
      </c>
      <c r="Z3" s="182">
        <v>18.68</v>
      </c>
      <c r="AA3" s="182">
        <v>6.84</v>
      </c>
      <c r="AB3" s="182">
        <v>6.51</v>
      </c>
      <c r="AC3" s="182">
        <v>9.9</v>
      </c>
      <c r="AD3" s="182">
        <v>16.47</v>
      </c>
      <c r="AE3" s="182">
        <v>29.05</v>
      </c>
      <c r="AF3" s="182">
        <v>39.35</v>
      </c>
      <c r="AG3" s="182"/>
      <c r="AH3" s="108">
        <f>SUM(C3:AG3)</f>
        <v>394.59999999999997</v>
      </c>
      <c r="AJ3" s="66" t="s">
        <v>61</v>
      </c>
      <c r="AK3" s="67" t="s">
        <v>62</v>
      </c>
      <c r="AL3" s="209"/>
      <c r="AM3" s="209"/>
    </row>
    <row r="4" spans="1:39" x14ac:dyDescent="0.25">
      <c r="A4" s="69" t="s">
        <v>30</v>
      </c>
      <c r="B4" s="70" t="s">
        <v>31</v>
      </c>
      <c r="C4" s="71">
        <v>2447.6</v>
      </c>
      <c r="D4" s="72">
        <v>4908.8</v>
      </c>
      <c r="E4" s="71">
        <v>1618</v>
      </c>
      <c r="F4" s="71">
        <v>2148.8000000000002</v>
      </c>
      <c r="G4" s="71"/>
      <c r="H4" s="71">
        <v>1346.4</v>
      </c>
      <c r="I4" s="71">
        <v>1843.2</v>
      </c>
      <c r="J4" s="71">
        <v>2353.6</v>
      </c>
      <c r="K4" s="71">
        <v>3683.6</v>
      </c>
      <c r="L4" s="71">
        <v>2338.4</v>
      </c>
      <c r="M4" s="71">
        <v>1226</v>
      </c>
      <c r="N4" s="71"/>
      <c r="O4" s="71">
        <v>735.2</v>
      </c>
      <c r="P4" s="71">
        <v>1097.5999999999999</v>
      </c>
      <c r="Q4" s="71">
        <v>2204.4</v>
      </c>
      <c r="R4" s="71">
        <v>3403.2</v>
      </c>
      <c r="S4" s="71">
        <v>2481.1999999999998</v>
      </c>
      <c r="T4" s="71"/>
      <c r="U4" s="71"/>
      <c r="V4" s="71"/>
      <c r="W4" s="71"/>
      <c r="X4" s="71"/>
      <c r="Y4" s="71">
        <v>4547.6000000000004</v>
      </c>
      <c r="Z4" s="71">
        <v>3225.2</v>
      </c>
      <c r="AA4" s="71">
        <v>1074</v>
      </c>
      <c r="AB4" s="71">
        <v>852.4</v>
      </c>
      <c r="AC4" s="71">
        <v>1027.5999999999999</v>
      </c>
      <c r="AD4" s="71">
        <v>1472</v>
      </c>
      <c r="AE4" s="71">
        <v>2618.4</v>
      </c>
      <c r="AF4" s="71">
        <v>5120.3999999999996</v>
      </c>
      <c r="AG4" s="71"/>
      <c r="AH4" s="108">
        <f t="shared" ref="AH4:AH28" si="1">SUM(C4:AG4)</f>
        <v>53773.599999999999</v>
      </c>
      <c r="AJ4" s="69" t="s">
        <v>30</v>
      </c>
      <c r="AK4" s="70" t="s">
        <v>31</v>
      </c>
      <c r="AL4" s="209"/>
      <c r="AM4" s="209"/>
    </row>
    <row r="5" spans="1:39" x14ac:dyDescent="0.25">
      <c r="A5" s="69"/>
      <c r="B5" s="382" t="s">
        <v>178</v>
      </c>
      <c r="C5" s="71"/>
      <c r="D5" s="72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09"/>
      <c r="AM5" s="209"/>
    </row>
    <row r="6" spans="1:39" x14ac:dyDescent="0.25">
      <c r="A6" s="69" t="s">
        <v>181</v>
      </c>
      <c r="B6" s="70" t="s">
        <v>205</v>
      </c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108">
        <f t="shared" si="1"/>
        <v>0</v>
      </c>
      <c r="AJ6" s="69" t="s">
        <v>181</v>
      </c>
      <c r="AK6" s="70" t="s">
        <v>63</v>
      </c>
      <c r="AM6" s="209"/>
    </row>
    <row r="7" spans="1:39" x14ac:dyDescent="0.25">
      <c r="A7" s="373" t="s">
        <v>155</v>
      </c>
      <c r="B7" s="374" t="s">
        <v>156</v>
      </c>
      <c r="C7" s="375"/>
      <c r="D7" s="376"/>
      <c r="E7" s="376"/>
      <c r="F7" s="376"/>
      <c r="G7" s="376"/>
      <c r="H7" s="376"/>
      <c r="I7" s="376"/>
      <c r="J7" s="376"/>
      <c r="K7" s="376"/>
      <c r="L7" s="376"/>
      <c r="M7" s="376"/>
      <c r="N7" s="376"/>
      <c r="O7" s="376"/>
      <c r="P7" s="376"/>
      <c r="Q7" s="376"/>
      <c r="R7" s="376"/>
      <c r="S7" s="376"/>
      <c r="T7" s="376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  <c r="AG7" s="376"/>
      <c r="AH7" s="377">
        <f>SUM(C7:AG7)</f>
        <v>0</v>
      </c>
      <c r="AI7" s="378"/>
      <c r="AJ7" s="373" t="s">
        <v>155</v>
      </c>
      <c r="AK7" s="374" t="s">
        <v>156</v>
      </c>
      <c r="AM7" s="209"/>
    </row>
    <row r="8" spans="1:39" x14ac:dyDescent="0.25">
      <c r="A8" s="373" t="s">
        <v>157</v>
      </c>
      <c r="B8" s="374" t="s">
        <v>200</v>
      </c>
      <c r="C8" s="375">
        <f>240+180</f>
        <v>420</v>
      </c>
      <c r="D8" s="376">
        <f>90+240</f>
        <v>330</v>
      </c>
      <c r="E8" s="376">
        <f>240+310</f>
        <v>550</v>
      </c>
      <c r="F8" s="376">
        <f>137.5+360</f>
        <v>497.5</v>
      </c>
      <c r="G8" s="376"/>
      <c r="H8" s="376">
        <v>1020</v>
      </c>
      <c r="I8" s="376">
        <f>75+120</f>
        <v>195</v>
      </c>
      <c r="J8" s="376">
        <f>464+215</f>
        <v>679</v>
      </c>
      <c r="K8" s="376">
        <f>710+480</f>
        <v>1190</v>
      </c>
      <c r="L8" s="376">
        <v>120</v>
      </c>
      <c r="M8" s="376">
        <f>120+210</f>
        <v>330</v>
      </c>
      <c r="N8" s="376"/>
      <c r="O8" s="376">
        <f>120+215</f>
        <v>335</v>
      </c>
      <c r="P8" s="376">
        <f>-200+240</f>
        <v>40</v>
      </c>
      <c r="Q8" s="376">
        <v>480</v>
      </c>
      <c r="R8" s="376">
        <f>400+120</f>
        <v>520</v>
      </c>
      <c r="S8" s="376">
        <v>240</v>
      </c>
      <c r="T8" s="376"/>
      <c r="U8" s="376"/>
      <c r="V8" s="376">
        <v>240</v>
      </c>
      <c r="W8" s="376">
        <v>120</v>
      </c>
      <c r="X8" s="376"/>
      <c r="Y8" s="376">
        <f>125+824</f>
        <v>949</v>
      </c>
      <c r="Z8" s="376">
        <f>240+682.5</f>
        <v>922.5</v>
      </c>
      <c r="AA8" s="376">
        <f>325+464</f>
        <v>789</v>
      </c>
      <c r="AB8" s="376"/>
      <c r="AC8" s="376"/>
      <c r="AD8" s="376">
        <f>867.5+584</f>
        <v>1451.5</v>
      </c>
      <c r="AE8" s="376">
        <f>880+584</f>
        <v>1464</v>
      </c>
      <c r="AF8" s="376">
        <f>37.5+78944</f>
        <v>78981.5</v>
      </c>
      <c r="AG8" s="376"/>
      <c r="AH8" s="377">
        <f>SUM(C8:AG8)</f>
        <v>91864</v>
      </c>
      <c r="AI8" s="378"/>
      <c r="AJ8" s="373" t="s">
        <v>157</v>
      </c>
      <c r="AK8" s="374" t="s">
        <v>200</v>
      </c>
      <c r="AM8" s="209"/>
    </row>
    <row r="9" spans="1:39" x14ac:dyDescent="0.25">
      <c r="A9" s="373" t="s">
        <v>162</v>
      </c>
      <c r="B9" s="374" t="s">
        <v>163</v>
      </c>
      <c r="C9" s="375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6"/>
      <c r="O9" s="376"/>
      <c r="P9" s="376"/>
      <c r="Q9" s="376"/>
      <c r="R9" s="376"/>
      <c r="S9" s="376"/>
      <c r="T9" s="376"/>
      <c r="U9" s="376"/>
      <c r="V9" s="376"/>
      <c r="W9" s="376"/>
      <c r="X9" s="376"/>
      <c r="Y9" s="376"/>
      <c r="Z9" s="376"/>
      <c r="AA9" s="376"/>
      <c r="AB9" s="376"/>
      <c r="AC9" s="376"/>
      <c r="AD9" s="376"/>
      <c r="AE9" s="376"/>
      <c r="AF9" s="376"/>
      <c r="AG9" s="376"/>
      <c r="AH9" s="377">
        <f t="shared" ref="AH9:AH13" si="2">SUM(C9:AG9)</f>
        <v>0</v>
      </c>
      <c r="AI9" s="378"/>
      <c r="AJ9" s="373" t="s">
        <v>162</v>
      </c>
      <c r="AK9" s="374" t="s">
        <v>163</v>
      </c>
      <c r="AM9" s="209"/>
    </row>
    <row r="10" spans="1:39" x14ac:dyDescent="0.25">
      <c r="A10" s="373" t="s">
        <v>164</v>
      </c>
      <c r="B10" s="374" t="s">
        <v>165</v>
      </c>
      <c r="C10" s="375"/>
      <c r="D10" s="376"/>
      <c r="E10" s="376"/>
      <c r="F10" s="376"/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6"/>
      <c r="X10" s="376"/>
      <c r="Y10" s="376"/>
      <c r="Z10" s="376"/>
      <c r="AA10" s="376"/>
      <c r="AB10" s="376"/>
      <c r="AC10" s="376"/>
      <c r="AD10" s="376"/>
      <c r="AE10" s="376"/>
      <c r="AF10" s="376"/>
      <c r="AG10" s="376"/>
      <c r="AH10" s="377">
        <f t="shared" si="2"/>
        <v>0</v>
      </c>
      <c r="AI10" s="378"/>
      <c r="AJ10" s="373" t="s">
        <v>164</v>
      </c>
      <c r="AK10" s="374" t="s">
        <v>165</v>
      </c>
      <c r="AM10" s="209"/>
    </row>
    <row r="11" spans="1:39" x14ac:dyDescent="0.25">
      <c r="A11" s="373" t="s">
        <v>158</v>
      </c>
      <c r="B11" s="374" t="s">
        <v>159</v>
      </c>
      <c r="C11" s="375"/>
      <c r="D11" s="376">
        <v>80</v>
      </c>
      <c r="E11" s="376"/>
      <c r="F11" s="376"/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6"/>
      <c r="T11" s="376"/>
      <c r="U11" s="376"/>
      <c r="V11" s="376"/>
      <c r="W11" s="376"/>
      <c r="X11" s="376"/>
      <c r="Y11" s="376"/>
      <c r="Z11" s="376"/>
      <c r="AA11" s="376"/>
      <c r="AB11" s="376"/>
      <c r="AC11" s="376"/>
      <c r="AD11" s="376"/>
      <c r="AE11" s="376"/>
      <c r="AF11" s="376"/>
      <c r="AG11" s="376"/>
      <c r="AH11" s="377">
        <f t="shared" si="2"/>
        <v>80</v>
      </c>
      <c r="AI11" s="378"/>
      <c r="AJ11" s="373" t="s">
        <v>158</v>
      </c>
      <c r="AK11" s="374" t="s">
        <v>159</v>
      </c>
      <c r="AM11" s="209"/>
    </row>
    <row r="12" spans="1:39" x14ac:dyDescent="0.25">
      <c r="A12" s="373" t="s">
        <v>169</v>
      </c>
      <c r="B12" s="374" t="s">
        <v>170</v>
      </c>
      <c r="C12" s="375"/>
      <c r="D12" s="376"/>
      <c r="E12" s="376"/>
      <c r="F12" s="376"/>
      <c r="G12" s="376"/>
      <c r="H12" s="376"/>
      <c r="I12" s="376"/>
      <c r="J12" s="376"/>
      <c r="K12" s="376"/>
      <c r="L12" s="376"/>
      <c r="M12" s="376"/>
      <c r="N12" s="376"/>
      <c r="O12" s="376"/>
      <c r="P12" s="376"/>
      <c r="Q12" s="376"/>
      <c r="R12" s="376"/>
      <c r="S12" s="376"/>
      <c r="T12" s="376"/>
      <c r="U12" s="376"/>
      <c r="V12" s="376"/>
      <c r="W12" s="376"/>
      <c r="X12" s="376"/>
      <c r="Y12" s="376"/>
      <c r="Z12" s="376"/>
      <c r="AA12" s="376"/>
      <c r="AB12" s="376"/>
      <c r="AC12" s="376"/>
      <c r="AD12" s="376"/>
      <c r="AE12" s="376"/>
      <c r="AF12" s="376"/>
      <c r="AG12" s="376"/>
      <c r="AH12" s="377">
        <f t="shared" si="2"/>
        <v>0</v>
      </c>
      <c r="AI12" s="378"/>
      <c r="AJ12" s="373" t="s">
        <v>169</v>
      </c>
      <c r="AK12" s="374" t="s">
        <v>170</v>
      </c>
      <c r="AM12" s="209"/>
    </row>
    <row r="13" spans="1:39" x14ac:dyDescent="0.25">
      <c r="A13" s="373" t="s">
        <v>171</v>
      </c>
      <c r="B13" s="374" t="s">
        <v>172</v>
      </c>
      <c r="C13" s="375"/>
      <c r="D13" s="376"/>
      <c r="E13" s="376"/>
      <c r="F13" s="376"/>
      <c r="G13" s="376"/>
      <c r="H13" s="376"/>
      <c r="I13" s="376"/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377">
        <f t="shared" si="2"/>
        <v>0</v>
      </c>
      <c r="AI13" s="378"/>
      <c r="AJ13" s="373" t="s">
        <v>171</v>
      </c>
      <c r="AK13" s="374" t="s">
        <v>172</v>
      </c>
      <c r="AM13" s="209"/>
    </row>
    <row r="14" spans="1:39" x14ac:dyDescent="0.25">
      <c r="A14" s="69" t="s">
        <v>34</v>
      </c>
      <c r="B14" s="70" t="s">
        <v>35</v>
      </c>
      <c r="C14" s="71">
        <v>50</v>
      </c>
      <c r="D14" s="72">
        <v>4</v>
      </c>
      <c r="E14" s="72">
        <v>64</v>
      </c>
      <c r="F14" s="72"/>
      <c r="G14" s="72"/>
      <c r="H14" s="72">
        <v>4</v>
      </c>
      <c r="I14" s="72"/>
      <c r="J14" s="72">
        <v>52</v>
      </c>
      <c r="K14" s="72">
        <v>4</v>
      </c>
      <c r="L14" s="72">
        <v>4</v>
      </c>
      <c r="M14" s="72">
        <v>54</v>
      </c>
      <c r="N14" s="72"/>
      <c r="O14" s="72">
        <v>8</v>
      </c>
      <c r="P14" s="72"/>
      <c r="Q14" s="72">
        <v>14</v>
      </c>
      <c r="R14" s="72">
        <v>4</v>
      </c>
      <c r="S14" s="72">
        <v>4</v>
      </c>
      <c r="T14" s="72">
        <v>40</v>
      </c>
      <c r="U14" s="72"/>
      <c r="V14" s="72"/>
      <c r="W14" s="72"/>
      <c r="X14" s="72"/>
      <c r="Y14" s="72"/>
      <c r="Z14" s="72"/>
      <c r="AA14" s="72">
        <v>102</v>
      </c>
      <c r="AB14" s="72"/>
      <c r="AC14" s="72">
        <v>8</v>
      </c>
      <c r="AD14" s="72">
        <f>32+2</f>
        <v>34</v>
      </c>
      <c r="AE14" s="72">
        <v>14</v>
      </c>
      <c r="AF14" s="72"/>
      <c r="AG14" s="72"/>
      <c r="AH14" s="108">
        <f t="shared" si="1"/>
        <v>464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194.64</v>
      </c>
      <c r="D15" s="72">
        <v>288.32</v>
      </c>
      <c r="E15" s="72">
        <v>60.96</v>
      </c>
      <c r="F15" s="72">
        <v>200.49</v>
      </c>
      <c r="G15" s="72"/>
      <c r="H15" s="72">
        <v>95.1</v>
      </c>
      <c r="I15" s="72">
        <v>63.5</v>
      </c>
      <c r="J15" s="72">
        <v>34.07</v>
      </c>
      <c r="K15" s="72">
        <v>246.56</v>
      </c>
      <c r="L15" s="72">
        <v>94.19</v>
      </c>
      <c r="M15" s="72">
        <v>167.5</v>
      </c>
      <c r="N15" s="72"/>
      <c r="O15" s="72">
        <v>78.44</v>
      </c>
      <c r="P15" s="72">
        <v>85.42</v>
      </c>
      <c r="Q15" s="72">
        <v>215.33</v>
      </c>
      <c r="R15" s="72">
        <v>293.66000000000003</v>
      </c>
      <c r="S15" s="72">
        <v>157.72</v>
      </c>
      <c r="T15" s="72"/>
      <c r="U15" s="72"/>
      <c r="V15" s="72"/>
      <c r="W15" s="72"/>
      <c r="X15" s="72"/>
      <c r="Y15" s="72">
        <v>470.9</v>
      </c>
      <c r="Z15" s="72">
        <v>197.69</v>
      </c>
      <c r="AA15" s="72">
        <v>65.33</v>
      </c>
      <c r="AB15" s="72">
        <v>63.33</v>
      </c>
      <c r="AC15" s="72">
        <v>97.78</v>
      </c>
      <c r="AD15" s="72">
        <v>171.24</v>
      </c>
      <c r="AE15" s="72">
        <v>299.79000000000002</v>
      </c>
      <c r="AF15" s="72">
        <v>411.92</v>
      </c>
      <c r="AG15" s="72"/>
      <c r="AH15" s="108">
        <f t="shared" si="1"/>
        <v>4053.88</v>
      </c>
      <c r="AJ15" s="69" t="s">
        <v>36</v>
      </c>
      <c r="AK15" s="70" t="s">
        <v>37</v>
      </c>
    </row>
    <row r="16" spans="1:39" x14ac:dyDescent="0.25">
      <c r="A16" s="69" t="s">
        <v>206</v>
      </c>
      <c r="B16" s="70" t="s">
        <v>114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113</v>
      </c>
      <c r="AK16" s="70" t="s">
        <v>114</v>
      </c>
    </row>
    <row r="17" spans="1:39" x14ac:dyDescent="0.25">
      <c r="A17" s="69" t="s">
        <v>78</v>
      </c>
      <c r="B17" s="70" t="s">
        <v>201</v>
      </c>
      <c r="C17" s="71">
        <v>16</v>
      </c>
      <c r="D17" s="72">
        <f>16+90</f>
        <v>106</v>
      </c>
      <c r="E17" s="72">
        <v>145</v>
      </c>
      <c r="F17" s="72">
        <v>137.5</v>
      </c>
      <c r="G17" s="72"/>
      <c r="H17" s="72">
        <v>80</v>
      </c>
      <c r="I17" s="72"/>
      <c r="J17" s="72"/>
      <c r="K17" s="72"/>
      <c r="L17" s="72">
        <v>75</v>
      </c>
      <c r="M17" s="72">
        <v>75</v>
      </c>
      <c r="N17" s="72"/>
      <c r="O17" s="72"/>
      <c r="P17" s="72"/>
      <c r="Q17" s="72">
        <v>96</v>
      </c>
      <c r="R17" s="72">
        <v>110</v>
      </c>
      <c r="S17" s="72"/>
      <c r="T17" s="72"/>
      <c r="U17" s="72"/>
      <c r="V17" s="72"/>
      <c r="W17" s="72"/>
      <c r="X17" s="72"/>
      <c r="Y17" s="72"/>
      <c r="Z17" s="72">
        <v>247.5</v>
      </c>
      <c r="AA17" s="72">
        <v>110</v>
      </c>
      <c r="AB17" s="72"/>
      <c r="AC17" s="72"/>
      <c r="AD17" s="72">
        <v>52.5</v>
      </c>
      <c r="AE17" s="72">
        <v>190</v>
      </c>
      <c r="AF17" s="72">
        <v>37.5</v>
      </c>
      <c r="AG17" s="72"/>
      <c r="AH17" s="108">
        <f t="shared" si="1"/>
        <v>1478</v>
      </c>
      <c r="AJ17" s="69" t="s">
        <v>78</v>
      </c>
      <c r="AK17" s="70" t="s">
        <v>79</v>
      </c>
      <c r="AL17" s="209"/>
    </row>
    <row r="18" spans="1:39" x14ac:dyDescent="0.25">
      <c r="A18" s="448" t="s">
        <v>202</v>
      </c>
      <c r="B18" s="70" t="s">
        <v>64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448" t="s">
        <v>202</v>
      </c>
      <c r="AK18" s="70" t="s">
        <v>64</v>
      </c>
      <c r="AL18" s="209">
        <f>AH18*0.5</f>
        <v>0</v>
      </c>
    </row>
    <row r="19" spans="1:39" x14ac:dyDescent="0.25">
      <c r="A19" s="69" t="s">
        <v>38</v>
      </c>
      <c r="B19" s="70" t="s">
        <v>39</v>
      </c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108">
        <f t="shared" si="1"/>
        <v>0</v>
      </c>
      <c r="AJ19" s="69" t="s">
        <v>38</v>
      </c>
      <c r="AK19" s="70" t="s">
        <v>39</v>
      </c>
    </row>
    <row r="20" spans="1:39" x14ac:dyDescent="0.25">
      <c r="A20" s="373" t="s">
        <v>166</v>
      </c>
      <c r="B20" s="374" t="s">
        <v>167</v>
      </c>
      <c r="C20" s="375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76"/>
      <c r="AA20" s="376"/>
      <c r="AB20" s="376"/>
      <c r="AC20" s="376"/>
      <c r="AD20" s="376"/>
      <c r="AE20" s="376"/>
      <c r="AF20" s="376"/>
      <c r="AG20" s="376"/>
      <c r="AH20" s="377">
        <f t="shared" si="1"/>
        <v>0</v>
      </c>
      <c r="AI20" s="378"/>
      <c r="AJ20" s="373" t="s">
        <v>166</v>
      </c>
      <c r="AK20" s="374" t="s">
        <v>168</v>
      </c>
    </row>
    <row r="21" spans="1:39" x14ac:dyDescent="0.25">
      <c r="A21" s="69" t="s">
        <v>40</v>
      </c>
      <c r="B21" s="70" t="s">
        <v>41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40</v>
      </c>
      <c r="AK21" s="70" t="s">
        <v>41</v>
      </c>
    </row>
    <row r="22" spans="1:39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09"/>
    </row>
    <row r="26" spans="1:39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112</v>
      </c>
      <c r="B28" s="78" t="s">
        <v>87</v>
      </c>
      <c r="C28" s="79"/>
      <c r="D28" s="80"/>
      <c r="E28" s="80"/>
      <c r="F28" s="80"/>
      <c r="G28" s="80"/>
      <c r="H28" s="80"/>
      <c r="I28" s="80">
        <v>36</v>
      </c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36</v>
      </c>
      <c r="AJ28" s="81" t="s">
        <v>112</v>
      </c>
      <c r="AK28" s="82" t="s">
        <v>87</v>
      </c>
      <c r="AL28" s="209"/>
    </row>
    <row r="29" spans="1:39" s="60" customFormat="1" ht="13.5" thickBot="1" x14ac:dyDescent="0.25">
      <c r="A29" s="197"/>
      <c r="B29" s="84" t="s">
        <v>65</v>
      </c>
      <c r="C29" s="107">
        <f t="shared" ref="C29:AG29" si="3">SUM(C3:C28)</f>
        <v>3146.9599999999996</v>
      </c>
      <c r="D29" s="107">
        <f t="shared" si="3"/>
        <v>5744.67</v>
      </c>
      <c r="E29" s="107">
        <f t="shared" si="3"/>
        <v>2444.19</v>
      </c>
      <c r="F29" s="107">
        <f t="shared" si="3"/>
        <v>3003.74</v>
      </c>
      <c r="G29" s="107">
        <f t="shared" si="3"/>
        <v>0</v>
      </c>
      <c r="H29" s="107">
        <f t="shared" si="3"/>
        <v>2555.52</v>
      </c>
      <c r="I29" s="107">
        <f t="shared" si="3"/>
        <v>2144.16</v>
      </c>
      <c r="J29" s="107">
        <f t="shared" si="3"/>
        <v>3122.1800000000003</v>
      </c>
      <c r="K29" s="107">
        <f t="shared" si="3"/>
        <v>5148.3</v>
      </c>
      <c r="L29" s="107">
        <f t="shared" si="3"/>
        <v>2640.98</v>
      </c>
      <c r="M29" s="107">
        <f t="shared" si="3"/>
        <v>1868.89</v>
      </c>
      <c r="N29" s="107">
        <f t="shared" si="3"/>
        <v>0</v>
      </c>
      <c r="O29" s="107">
        <f t="shared" si="3"/>
        <v>1164.5700000000002</v>
      </c>
      <c r="P29" s="107">
        <f t="shared" si="3"/>
        <v>1231.68</v>
      </c>
      <c r="Q29" s="107">
        <f t="shared" si="3"/>
        <v>3030.32</v>
      </c>
      <c r="R29" s="107">
        <f t="shared" si="3"/>
        <v>4358.92</v>
      </c>
      <c r="S29" s="107">
        <f t="shared" si="3"/>
        <v>2898.6099999999997</v>
      </c>
      <c r="T29" s="107">
        <f t="shared" si="3"/>
        <v>40</v>
      </c>
      <c r="U29" s="107">
        <f t="shared" si="3"/>
        <v>0</v>
      </c>
      <c r="V29" s="107">
        <f t="shared" si="3"/>
        <v>240</v>
      </c>
      <c r="W29" s="107">
        <f t="shared" si="3"/>
        <v>120</v>
      </c>
      <c r="X29" s="107">
        <f t="shared" si="3"/>
        <v>0</v>
      </c>
      <c r="Y29" s="107">
        <f t="shared" si="3"/>
        <v>6012.51</v>
      </c>
      <c r="Z29" s="107">
        <f t="shared" si="3"/>
        <v>4611.5699999999988</v>
      </c>
      <c r="AA29" s="107">
        <f t="shared" si="3"/>
        <v>2147.17</v>
      </c>
      <c r="AB29" s="107">
        <f t="shared" si="3"/>
        <v>922.24</v>
      </c>
      <c r="AC29" s="107">
        <f t="shared" si="3"/>
        <v>1143.28</v>
      </c>
      <c r="AD29" s="107">
        <f t="shared" si="3"/>
        <v>3197.71</v>
      </c>
      <c r="AE29" s="107">
        <f t="shared" si="3"/>
        <v>4615.2400000000007</v>
      </c>
      <c r="AF29" s="107">
        <f t="shared" si="3"/>
        <v>84590.67</v>
      </c>
      <c r="AG29" s="107">
        <f t="shared" si="3"/>
        <v>0</v>
      </c>
      <c r="AH29" s="109">
        <f>SUM(C3:AG28)</f>
        <v>152144.08000000002</v>
      </c>
      <c r="AI29" s="85"/>
      <c r="AJ29" s="274"/>
      <c r="AK29" s="275" t="s">
        <v>65</v>
      </c>
    </row>
    <row r="30" spans="1:39" s="60" customFormat="1" ht="13.5" thickBot="1" x14ac:dyDescent="0.25">
      <c r="A30" s="198"/>
      <c r="B30" s="91" t="s">
        <v>107</v>
      </c>
      <c r="C30" s="72">
        <v>3146.96</v>
      </c>
      <c r="D30" s="72">
        <v>5744.67</v>
      </c>
      <c r="E30" s="72">
        <v>2444.19</v>
      </c>
      <c r="F30" s="72">
        <v>3003.74</v>
      </c>
      <c r="G30" s="72"/>
      <c r="H30" s="72">
        <v>2555.52</v>
      </c>
      <c r="I30" s="72">
        <v>2144.16</v>
      </c>
      <c r="J30" s="72">
        <v>3122.18</v>
      </c>
      <c r="K30" s="72">
        <v>5148.3</v>
      </c>
      <c r="L30" s="72">
        <v>2640.98</v>
      </c>
      <c r="M30" s="72">
        <v>1868.89</v>
      </c>
      <c r="N30" s="72"/>
      <c r="O30" s="72">
        <v>1164.57</v>
      </c>
      <c r="P30" s="72">
        <v>1231.68</v>
      </c>
      <c r="Q30" s="72">
        <v>3030.32</v>
      </c>
      <c r="R30" s="72">
        <v>4358.92</v>
      </c>
      <c r="S30" s="72">
        <v>2893.61</v>
      </c>
      <c r="T30" s="72">
        <v>40</v>
      </c>
      <c r="U30" s="72"/>
      <c r="V30" s="72">
        <v>240</v>
      </c>
      <c r="W30" s="72">
        <v>120</v>
      </c>
      <c r="X30" s="72"/>
      <c r="Y30" s="72">
        <v>6012.51</v>
      </c>
      <c r="Z30" s="72">
        <v>4611.57</v>
      </c>
      <c r="AA30" s="72">
        <v>2147.17</v>
      </c>
      <c r="AB30" s="72">
        <v>922.24</v>
      </c>
      <c r="AC30" s="72">
        <v>1143.28</v>
      </c>
      <c r="AD30" s="72">
        <v>3197.71</v>
      </c>
      <c r="AE30" s="72">
        <v>4615.24</v>
      </c>
      <c r="AF30" s="72">
        <v>84590.67</v>
      </c>
      <c r="AG30" s="72"/>
      <c r="AH30" s="189">
        <f>SUM(C30:AG30)</f>
        <v>152139.08000000002</v>
      </c>
      <c r="AI30" s="85"/>
      <c r="AJ30" s="188"/>
      <c r="AK30" s="188"/>
    </row>
    <row r="31" spans="1:39" s="60" customFormat="1" thickBot="1" x14ac:dyDescent="0.3">
      <c r="A31" s="199"/>
      <c r="B31" s="104" t="s">
        <v>105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4.9999999999995453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6">
        <f t="shared" si="4"/>
        <v>5</v>
      </c>
      <c r="AI31" s="85"/>
      <c r="AJ31" s="470" t="s">
        <v>132</v>
      </c>
      <c r="AK31" s="471"/>
      <c r="AL31" s="471"/>
      <c r="AM31" s="472"/>
    </row>
    <row r="32" spans="1:39" ht="16.5" thickBot="1" x14ac:dyDescent="0.3">
      <c r="A32" s="193"/>
      <c r="B32" s="194"/>
      <c r="C32" s="195"/>
      <c r="D32" s="194"/>
      <c r="E32" s="194"/>
      <c r="F32" s="194"/>
      <c r="G32" s="194"/>
      <c r="H32" s="277"/>
      <c r="I32" s="194"/>
      <c r="J32" s="194"/>
      <c r="K32" s="194"/>
      <c r="L32" s="194"/>
      <c r="M32" s="194"/>
      <c r="N32" s="194"/>
      <c r="O32" s="194"/>
      <c r="P32" s="194"/>
      <c r="Q32" s="194"/>
      <c r="R32" s="262"/>
      <c r="S32" s="194"/>
      <c r="T32" s="194"/>
      <c r="U32" s="194"/>
      <c r="V32" s="194"/>
      <c r="W32" s="194"/>
      <c r="X32" s="194"/>
      <c r="Y32" s="195"/>
      <c r="Z32" s="194"/>
      <c r="AA32" s="194"/>
      <c r="AB32" s="194"/>
      <c r="AC32" s="194"/>
      <c r="AD32" s="194"/>
      <c r="AE32" s="194"/>
      <c r="AF32" s="194"/>
      <c r="AG32" s="194"/>
      <c r="AH32" s="196"/>
      <c r="AJ32" s="281" t="s">
        <v>67</v>
      </c>
      <c r="AK32" s="282" t="s">
        <v>133</v>
      </c>
      <c r="AL32" s="282" t="s">
        <v>125</v>
      </c>
      <c r="AM32" s="283" t="s">
        <v>126</v>
      </c>
    </row>
    <row r="33" spans="1:40" x14ac:dyDescent="0.25">
      <c r="A33" s="89" t="s">
        <v>60</v>
      </c>
      <c r="B33" s="84" t="s">
        <v>54</v>
      </c>
      <c r="C33" s="396">
        <v>342.5</v>
      </c>
      <c r="D33" s="396">
        <v>1162.54</v>
      </c>
      <c r="E33" s="396">
        <v>621.98</v>
      </c>
      <c r="F33" s="396">
        <v>611.35</v>
      </c>
      <c r="G33" s="396"/>
      <c r="H33" s="396">
        <v>360.81</v>
      </c>
      <c r="I33" s="396">
        <v>575.01</v>
      </c>
      <c r="J33" s="396">
        <v>368.8</v>
      </c>
      <c r="K33" s="396">
        <v>1044.67</v>
      </c>
      <c r="L33" s="396">
        <v>794.38</v>
      </c>
      <c r="M33" s="396">
        <v>359.92</v>
      </c>
      <c r="N33" s="396"/>
      <c r="O33" s="396">
        <v>241.88</v>
      </c>
      <c r="P33" s="396">
        <v>220.78</v>
      </c>
      <c r="Q33" s="396">
        <v>1034.73</v>
      </c>
      <c r="R33" s="396">
        <v>854.01</v>
      </c>
      <c r="S33" s="396">
        <v>1022.8</v>
      </c>
      <c r="T33" s="396">
        <v>40</v>
      </c>
      <c r="U33" s="396"/>
      <c r="V33" s="396"/>
      <c r="W33" s="396"/>
      <c r="X33" s="396"/>
      <c r="Y33" s="396">
        <v>1058.78</v>
      </c>
      <c r="Z33" s="396">
        <v>892.01</v>
      </c>
      <c r="AA33" s="396">
        <v>550.66</v>
      </c>
      <c r="AB33" s="396">
        <v>352.83</v>
      </c>
      <c r="AC33" s="396">
        <v>355</v>
      </c>
      <c r="AD33" s="397">
        <v>412.01</v>
      </c>
      <c r="AE33" s="397">
        <v>507.36</v>
      </c>
      <c r="AF33" s="397">
        <v>64724.4</v>
      </c>
      <c r="AG33" s="397"/>
      <c r="AH33" s="110">
        <f>SUM(C33:AG33)</f>
        <v>78509.210000000006</v>
      </c>
      <c r="AJ33" s="137" t="s">
        <v>60</v>
      </c>
      <c r="AK33" s="138" t="s">
        <v>127</v>
      </c>
      <c r="AL33" s="390">
        <f>SUM(C33:AC33)</f>
        <v>12865.44</v>
      </c>
      <c r="AM33" s="391">
        <f>SUM(AD33:AG33)</f>
        <v>65643.77</v>
      </c>
    </row>
    <row r="34" spans="1:40" x14ac:dyDescent="0.25">
      <c r="A34" s="90" t="s">
        <v>60</v>
      </c>
      <c r="B34" s="91" t="s">
        <v>55</v>
      </c>
      <c r="C34" s="393">
        <v>2686.92</v>
      </c>
      <c r="D34" s="393">
        <v>4583.26</v>
      </c>
      <c r="E34" s="393">
        <v>1822.21</v>
      </c>
      <c r="F34" s="393">
        <v>2392.39</v>
      </c>
      <c r="G34" s="393"/>
      <c r="H34" s="393">
        <v>2193.71</v>
      </c>
      <c r="I34" s="393">
        <v>1568.75</v>
      </c>
      <c r="J34" s="393">
        <v>2753.28</v>
      </c>
      <c r="K34" s="393">
        <v>4103.58</v>
      </c>
      <c r="L34" s="393">
        <v>1843.07</v>
      </c>
      <c r="M34" s="393">
        <v>1508.22</v>
      </c>
      <c r="N34" s="393"/>
      <c r="O34" s="393">
        <v>904.44</v>
      </c>
      <c r="P34" s="393">
        <v>975.9</v>
      </c>
      <c r="Q34" s="393">
        <v>1995.59</v>
      </c>
      <c r="R34" s="393">
        <v>3518.65</v>
      </c>
      <c r="S34" s="393">
        <v>1899.65</v>
      </c>
      <c r="T34" s="393"/>
      <c r="U34" s="393"/>
      <c r="V34" s="393"/>
      <c r="W34" s="393"/>
      <c r="X34" s="393"/>
      <c r="Y34" s="393">
        <v>4905.1000000000004</v>
      </c>
      <c r="Z34" s="393">
        <v>3719.21</v>
      </c>
      <c r="AA34" s="395">
        <v>1596.51</v>
      </c>
      <c r="AB34" s="395">
        <v>569.21</v>
      </c>
      <c r="AC34" s="395">
        <v>788.5</v>
      </c>
      <c r="AD34" s="395">
        <v>2509.6999999999998</v>
      </c>
      <c r="AE34" s="395">
        <v>3722.92</v>
      </c>
      <c r="AF34" s="395">
        <v>4948.7299999999996</v>
      </c>
      <c r="AG34" s="395"/>
      <c r="AH34" s="111">
        <f t="shared" ref="AH34:AH38" si="5">SUM(C34:AG34)</f>
        <v>57509.5</v>
      </c>
      <c r="AJ34" s="129" t="s">
        <v>60</v>
      </c>
      <c r="AK34" s="130" t="s">
        <v>212</v>
      </c>
      <c r="AL34" s="290">
        <f>SUM(C34:Z34)-AL45</f>
        <v>42012.81</v>
      </c>
      <c r="AM34" s="291">
        <f>SUM(AA34:AG34)-AM45</f>
        <v>13709.73</v>
      </c>
    </row>
    <row r="35" spans="1:40" x14ac:dyDescent="0.25">
      <c r="A35" s="92" t="s">
        <v>60</v>
      </c>
      <c r="B35" s="93" t="s">
        <v>99</v>
      </c>
      <c r="C35" s="384"/>
      <c r="D35" s="384"/>
      <c r="E35" s="384"/>
      <c r="F35" s="394"/>
      <c r="G35" s="384"/>
      <c r="H35" s="384"/>
      <c r="I35" s="384"/>
      <c r="J35" s="384"/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5"/>
      <c r="Z35" s="385"/>
      <c r="AA35" s="384"/>
      <c r="AB35" s="384"/>
      <c r="AC35" s="384"/>
      <c r="AD35" s="384"/>
      <c r="AE35" s="384"/>
      <c r="AF35" s="384"/>
      <c r="AG35" s="384"/>
      <c r="AH35" s="111">
        <f t="shared" si="5"/>
        <v>0</v>
      </c>
      <c r="AJ35" s="129" t="s">
        <v>60</v>
      </c>
      <c r="AK35" s="130" t="s">
        <v>128</v>
      </c>
      <c r="AL35" s="290">
        <f>SUM(C35:AE35)</f>
        <v>0</v>
      </c>
      <c r="AM35" s="291">
        <f>SUM(AE35:AG35)</f>
        <v>0</v>
      </c>
    </row>
    <row r="36" spans="1:40" hidden="1" x14ac:dyDescent="0.25">
      <c r="A36" s="92" t="s">
        <v>60</v>
      </c>
      <c r="B36" s="93" t="s">
        <v>100</v>
      </c>
      <c r="C36" s="384"/>
      <c r="D36" s="384"/>
      <c r="E36" s="384"/>
      <c r="F36" s="384"/>
      <c r="G36" s="384"/>
      <c r="H36" s="384"/>
      <c r="I36" s="384"/>
      <c r="J36" s="384"/>
      <c r="K36" s="384"/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111">
        <f t="shared" si="5"/>
        <v>0</v>
      </c>
      <c r="AJ36" s="129" t="s">
        <v>60</v>
      </c>
      <c r="AK36" s="130" t="s">
        <v>129</v>
      </c>
      <c r="AL36" s="290"/>
      <c r="AM36" s="392"/>
    </row>
    <row r="37" spans="1:40" ht="16.5" customHeight="1" x14ac:dyDescent="0.25">
      <c r="A37" s="92" t="s">
        <v>68</v>
      </c>
      <c r="B37" s="93" t="s">
        <v>69</v>
      </c>
      <c r="C37" s="384">
        <v>120</v>
      </c>
      <c r="D37" s="384"/>
      <c r="E37" s="384"/>
      <c r="F37" s="384"/>
      <c r="G37" s="384"/>
      <c r="H37" s="384"/>
      <c r="I37" s="384"/>
      <c r="J37" s="384"/>
      <c r="K37" s="384"/>
      <c r="L37" s="384"/>
      <c r="M37" s="384"/>
      <c r="N37" s="384"/>
      <c r="O37" s="384"/>
      <c r="P37" s="384"/>
      <c r="Q37" s="384"/>
      <c r="R37" s="384"/>
      <c r="S37" s="384"/>
      <c r="T37" s="384"/>
      <c r="U37" s="384"/>
      <c r="V37" s="384">
        <v>240</v>
      </c>
      <c r="W37" s="384">
        <v>120</v>
      </c>
      <c r="X37" s="384"/>
      <c r="Y37" s="384"/>
      <c r="Z37" s="384"/>
      <c r="AA37" s="384"/>
      <c r="AB37" s="384"/>
      <c r="AC37" s="384"/>
      <c r="AD37" s="384">
        <v>240</v>
      </c>
      <c r="AE37" s="384">
        <v>240</v>
      </c>
      <c r="AF37" s="384">
        <v>15000</v>
      </c>
      <c r="AG37" s="384"/>
      <c r="AH37" s="111">
        <f t="shared" si="5"/>
        <v>15960</v>
      </c>
      <c r="AJ37" s="129" t="s">
        <v>68</v>
      </c>
      <c r="AK37" s="130" t="s">
        <v>93</v>
      </c>
      <c r="AL37" s="268">
        <f>AH37</f>
        <v>15960</v>
      </c>
      <c r="AM37" s="269"/>
      <c r="AN37" s="264" t="s">
        <v>130</v>
      </c>
    </row>
    <row r="38" spans="1:40" ht="16.5" thickBot="1" x14ac:dyDescent="0.3">
      <c r="A38" s="81" t="s">
        <v>112</v>
      </c>
      <c r="B38" s="94" t="s">
        <v>86</v>
      </c>
      <c r="C38" s="386"/>
      <c r="D38" s="386"/>
      <c r="E38" s="386"/>
      <c r="F38" s="386"/>
      <c r="G38" s="386"/>
      <c r="H38" s="386"/>
      <c r="I38" s="386"/>
      <c r="J38" s="386"/>
      <c r="K38" s="386"/>
      <c r="L38" s="386">
        <v>21</v>
      </c>
      <c r="M38" s="386"/>
      <c r="N38" s="386"/>
      <c r="O38" s="386"/>
      <c r="P38" s="386">
        <v>36</v>
      </c>
      <c r="Q38" s="386"/>
      <c r="R38" s="386"/>
      <c r="S38" s="386"/>
      <c r="T38" s="386"/>
      <c r="U38" s="386"/>
      <c r="V38" s="386"/>
      <c r="W38" s="386"/>
      <c r="X38" s="386"/>
      <c r="Y38" s="386">
        <v>12</v>
      </c>
      <c r="Z38" s="386"/>
      <c r="AA38" s="386"/>
      <c r="AB38" s="386"/>
      <c r="AC38" s="386"/>
      <c r="AD38" s="386">
        <v>36</v>
      </c>
      <c r="AE38" s="386"/>
      <c r="AF38" s="386">
        <v>36</v>
      </c>
      <c r="AG38" s="386"/>
      <c r="AH38" s="112">
        <f t="shared" si="5"/>
        <v>141</v>
      </c>
      <c r="AJ38" s="129" t="s">
        <v>112</v>
      </c>
      <c r="AK38" s="130" t="s">
        <v>161</v>
      </c>
      <c r="AL38" s="268">
        <f>AH38</f>
        <v>141</v>
      </c>
      <c r="AM38" s="269"/>
    </row>
    <row r="39" spans="1:40" ht="16.5" thickBot="1" x14ac:dyDescent="0.3">
      <c r="A39" s="200"/>
      <c r="B39" s="191" t="s">
        <v>66</v>
      </c>
      <c r="C39" s="107">
        <f t="shared" ref="C39:AG39" si="6">SUM(C33:C38)</f>
        <v>3149.42</v>
      </c>
      <c r="D39" s="107">
        <f t="shared" si="6"/>
        <v>5745.8</v>
      </c>
      <c r="E39" s="107">
        <f t="shared" si="6"/>
        <v>2444.19</v>
      </c>
      <c r="F39" s="107">
        <f t="shared" si="6"/>
        <v>3003.74</v>
      </c>
      <c r="G39" s="107">
        <f t="shared" si="6"/>
        <v>0</v>
      </c>
      <c r="H39" s="107">
        <f t="shared" si="6"/>
        <v>2554.52</v>
      </c>
      <c r="I39" s="107">
        <f t="shared" si="6"/>
        <v>2143.7600000000002</v>
      </c>
      <c r="J39" s="107">
        <f t="shared" si="6"/>
        <v>3122.0800000000004</v>
      </c>
      <c r="K39" s="107">
        <f t="shared" si="6"/>
        <v>5148.25</v>
      </c>
      <c r="L39" s="107">
        <f t="shared" si="6"/>
        <v>2658.45</v>
      </c>
      <c r="M39" s="107">
        <f t="shared" si="6"/>
        <v>1868.14</v>
      </c>
      <c r="N39" s="107">
        <f t="shared" si="6"/>
        <v>0</v>
      </c>
      <c r="O39" s="107">
        <f t="shared" si="6"/>
        <v>1146.3200000000002</v>
      </c>
      <c r="P39" s="107">
        <f t="shared" si="6"/>
        <v>1232.68</v>
      </c>
      <c r="Q39" s="107">
        <f t="shared" si="6"/>
        <v>3030.3199999999997</v>
      </c>
      <c r="R39" s="107">
        <f t="shared" si="6"/>
        <v>4372.66</v>
      </c>
      <c r="S39" s="107">
        <f t="shared" si="6"/>
        <v>2922.45</v>
      </c>
      <c r="T39" s="107">
        <f t="shared" si="6"/>
        <v>40</v>
      </c>
      <c r="U39" s="107">
        <f t="shared" si="6"/>
        <v>0</v>
      </c>
      <c r="V39" s="107">
        <f t="shared" si="6"/>
        <v>240</v>
      </c>
      <c r="W39" s="107">
        <f t="shared" si="6"/>
        <v>120</v>
      </c>
      <c r="X39" s="107">
        <f t="shared" si="6"/>
        <v>0</v>
      </c>
      <c r="Y39" s="107">
        <f t="shared" si="6"/>
        <v>5975.88</v>
      </c>
      <c r="Z39" s="107">
        <f t="shared" si="6"/>
        <v>4611.22</v>
      </c>
      <c r="AA39" s="107">
        <f t="shared" si="6"/>
        <v>2147.17</v>
      </c>
      <c r="AB39" s="107">
        <f t="shared" si="6"/>
        <v>922.04</v>
      </c>
      <c r="AC39" s="107">
        <f t="shared" si="6"/>
        <v>1143.5</v>
      </c>
      <c r="AD39" s="107">
        <f t="shared" si="6"/>
        <v>3197.71</v>
      </c>
      <c r="AE39" s="107">
        <f t="shared" si="6"/>
        <v>4470.28</v>
      </c>
      <c r="AF39" s="107">
        <f t="shared" si="6"/>
        <v>84709.13</v>
      </c>
      <c r="AG39" s="107">
        <f t="shared" si="6"/>
        <v>0</v>
      </c>
      <c r="AH39" s="110">
        <f>SUM(C39:AG39)</f>
        <v>152119.71000000002</v>
      </c>
      <c r="AI39" s="59"/>
      <c r="AJ39" s="466" t="s">
        <v>77</v>
      </c>
      <c r="AK39" s="467"/>
      <c r="AL39" s="468">
        <f>SUM(AL33:AM38)</f>
        <v>150332.75</v>
      </c>
      <c r="AM39" s="469"/>
      <c r="AN39" s="272">
        <f>AL39-AH39+AL45+AM45</f>
        <v>-2.1032064978498966E-11</v>
      </c>
    </row>
    <row r="40" spans="1:40" x14ac:dyDescent="0.25">
      <c r="A40" s="201"/>
      <c r="B40" s="192" t="s">
        <v>107</v>
      </c>
      <c r="C40" s="72">
        <f>C30</f>
        <v>3146.96</v>
      </c>
      <c r="D40" s="72">
        <f t="shared" ref="D40:AG40" si="7">D30</f>
        <v>5744.67</v>
      </c>
      <c r="E40" s="72">
        <f t="shared" si="7"/>
        <v>2444.19</v>
      </c>
      <c r="F40" s="72">
        <f t="shared" si="7"/>
        <v>3003.74</v>
      </c>
      <c r="G40" s="72">
        <f t="shared" si="7"/>
        <v>0</v>
      </c>
      <c r="H40" s="72">
        <f t="shared" si="7"/>
        <v>2555.52</v>
      </c>
      <c r="I40" s="72">
        <f t="shared" si="7"/>
        <v>2144.16</v>
      </c>
      <c r="J40" s="72">
        <f t="shared" si="7"/>
        <v>3122.18</v>
      </c>
      <c r="K40" s="72">
        <f t="shared" si="7"/>
        <v>5148.3</v>
      </c>
      <c r="L40" s="72">
        <f t="shared" si="7"/>
        <v>2640.98</v>
      </c>
      <c r="M40" s="72">
        <f t="shared" si="7"/>
        <v>1868.89</v>
      </c>
      <c r="N40" s="72">
        <f t="shared" si="7"/>
        <v>0</v>
      </c>
      <c r="O40" s="72">
        <f t="shared" si="7"/>
        <v>1164.57</v>
      </c>
      <c r="P40" s="72">
        <f t="shared" si="7"/>
        <v>1231.68</v>
      </c>
      <c r="Q40" s="72">
        <f t="shared" si="7"/>
        <v>3030.32</v>
      </c>
      <c r="R40" s="72">
        <f t="shared" si="7"/>
        <v>4358.92</v>
      </c>
      <c r="S40" s="72">
        <f t="shared" si="7"/>
        <v>2893.61</v>
      </c>
      <c r="T40" s="72">
        <f t="shared" si="7"/>
        <v>40</v>
      </c>
      <c r="U40" s="72">
        <f t="shared" si="7"/>
        <v>0</v>
      </c>
      <c r="V40" s="72">
        <f t="shared" si="7"/>
        <v>240</v>
      </c>
      <c r="W40" s="72">
        <f t="shared" si="7"/>
        <v>120</v>
      </c>
      <c r="X40" s="72">
        <f t="shared" si="7"/>
        <v>0</v>
      </c>
      <c r="Y40" s="72">
        <f t="shared" si="7"/>
        <v>6012.51</v>
      </c>
      <c r="Z40" s="72">
        <f t="shared" si="7"/>
        <v>4611.57</v>
      </c>
      <c r="AA40" s="72">
        <f t="shared" si="7"/>
        <v>2147.17</v>
      </c>
      <c r="AB40" s="72">
        <f t="shared" si="7"/>
        <v>922.24</v>
      </c>
      <c r="AC40" s="72">
        <f t="shared" si="7"/>
        <v>1143.28</v>
      </c>
      <c r="AD40" s="72">
        <f t="shared" si="7"/>
        <v>3197.71</v>
      </c>
      <c r="AE40" s="72">
        <f t="shared" si="7"/>
        <v>4615.24</v>
      </c>
      <c r="AF40" s="72">
        <f t="shared" si="7"/>
        <v>84590.67</v>
      </c>
      <c r="AG40" s="72">
        <f t="shared" si="7"/>
        <v>0</v>
      </c>
      <c r="AH40" s="111">
        <f t="shared" ref="AH40:AH41" si="8">SUM(C40:AG40)</f>
        <v>152139.08000000002</v>
      </c>
      <c r="AJ40" s="59"/>
      <c r="AK40" s="59"/>
    </row>
    <row r="41" spans="1:40" ht="16.5" thickBot="1" x14ac:dyDescent="0.3">
      <c r="A41" s="202"/>
      <c r="B41" s="104" t="s">
        <v>105</v>
      </c>
      <c r="C41" s="133">
        <f>C39-C40</f>
        <v>2.4600000000000364</v>
      </c>
      <c r="D41" s="133">
        <f>D39-D40</f>
        <v>1.1300000000001091</v>
      </c>
      <c r="E41" s="133">
        <f>E39-E40</f>
        <v>0</v>
      </c>
      <c r="F41" s="133">
        <f t="shared" ref="F41:AG41" si="9">F39-F40</f>
        <v>0</v>
      </c>
      <c r="G41" s="133">
        <f t="shared" si="9"/>
        <v>0</v>
      </c>
      <c r="H41" s="133">
        <f t="shared" si="9"/>
        <v>-1</v>
      </c>
      <c r="I41" s="133">
        <f t="shared" si="9"/>
        <v>-0.3999999999996362</v>
      </c>
      <c r="J41" s="133">
        <f t="shared" si="9"/>
        <v>-9.9999999999454303E-2</v>
      </c>
      <c r="K41" s="133">
        <f t="shared" si="9"/>
        <v>-5.0000000000181899E-2</v>
      </c>
      <c r="L41" s="133">
        <f t="shared" si="9"/>
        <v>17.4699999999998</v>
      </c>
      <c r="M41" s="133">
        <f t="shared" si="9"/>
        <v>-0.75</v>
      </c>
      <c r="N41" s="133">
        <f t="shared" si="9"/>
        <v>0</v>
      </c>
      <c r="O41" s="133">
        <f t="shared" si="9"/>
        <v>-18.249999999999773</v>
      </c>
      <c r="P41" s="133">
        <f t="shared" si="9"/>
        <v>1</v>
      </c>
      <c r="Q41" s="133">
        <f t="shared" si="9"/>
        <v>0</v>
      </c>
      <c r="R41" s="133">
        <f t="shared" si="9"/>
        <v>13.739999999999782</v>
      </c>
      <c r="S41" s="133">
        <f t="shared" si="9"/>
        <v>28.839999999999691</v>
      </c>
      <c r="T41" s="133">
        <f t="shared" si="9"/>
        <v>0</v>
      </c>
      <c r="U41" s="133">
        <f t="shared" si="9"/>
        <v>0</v>
      </c>
      <c r="V41" s="133">
        <f t="shared" si="9"/>
        <v>0</v>
      </c>
      <c r="W41" s="133">
        <f t="shared" si="9"/>
        <v>0</v>
      </c>
      <c r="X41" s="133">
        <f t="shared" si="9"/>
        <v>0</v>
      </c>
      <c r="Y41" s="133">
        <f t="shared" si="9"/>
        <v>-36.630000000000109</v>
      </c>
      <c r="Z41" s="133">
        <f t="shared" si="9"/>
        <v>-0.3499999999994543</v>
      </c>
      <c r="AA41" s="133">
        <f t="shared" si="9"/>
        <v>0</v>
      </c>
      <c r="AB41" s="133">
        <f t="shared" si="9"/>
        <v>-0.20000000000004547</v>
      </c>
      <c r="AC41" s="133">
        <f t="shared" si="9"/>
        <v>0.22000000000002728</v>
      </c>
      <c r="AD41" s="133">
        <f t="shared" si="9"/>
        <v>0</v>
      </c>
      <c r="AE41" s="133">
        <f t="shared" si="9"/>
        <v>-144.96000000000004</v>
      </c>
      <c r="AF41" s="133">
        <f t="shared" si="9"/>
        <v>118.4600000000064</v>
      </c>
      <c r="AG41" s="133">
        <f t="shared" si="9"/>
        <v>0</v>
      </c>
      <c r="AH41" s="112">
        <f t="shared" si="8"/>
        <v>-19.369999999992842</v>
      </c>
      <c r="AJ41" s="380">
        <f>AH39-AH40</f>
        <v>-19.369999999995343</v>
      </c>
      <c r="AK41" s="267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7"/>
      <c r="AK42" s="267"/>
      <c r="AL42" s="99"/>
      <c r="AM42" s="188"/>
      <c r="AN42" s="190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-2.4600000000004911</v>
      </c>
      <c r="D43" s="114">
        <f t="shared" si="10"/>
        <v>-1.1300000000001091</v>
      </c>
      <c r="E43" s="114">
        <f t="shared" si="10"/>
        <v>0</v>
      </c>
      <c r="F43" s="114">
        <f t="shared" si="10"/>
        <v>0</v>
      </c>
      <c r="G43" s="114">
        <f t="shared" si="10"/>
        <v>0</v>
      </c>
      <c r="H43" s="114">
        <f t="shared" si="10"/>
        <v>1</v>
      </c>
      <c r="I43" s="114">
        <f t="shared" si="10"/>
        <v>0.3999999999996362</v>
      </c>
      <c r="J43" s="114">
        <f t="shared" si="10"/>
        <v>9.9999999999909051E-2</v>
      </c>
      <c r="K43" s="114">
        <f t="shared" si="10"/>
        <v>5.0000000000181899E-2</v>
      </c>
      <c r="L43" s="114">
        <f t="shared" si="10"/>
        <v>-17.4699999999998</v>
      </c>
      <c r="M43" s="114">
        <f t="shared" si="10"/>
        <v>0.75</v>
      </c>
      <c r="N43" s="114">
        <f t="shared" si="10"/>
        <v>0</v>
      </c>
      <c r="O43" s="114">
        <f t="shared" si="10"/>
        <v>18.25</v>
      </c>
      <c r="P43" s="114">
        <f t="shared" si="10"/>
        <v>-1</v>
      </c>
      <c r="Q43" s="114">
        <f t="shared" si="10"/>
        <v>0</v>
      </c>
      <c r="R43" s="114">
        <f t="shared" si="10"/>
        <v>-13.739999999999782</v>
      </c>
      <c r="S43" s="114">
        <f t="shared" si="10"/>
        <v>-23.840000000000146</v>
      </c>
      <c r="T43" s="114">
        <f t="shared" si="10"/>
        <v>0</v>
      </c>
      <c r="U43" s="114">
        <f t="shared" si="10"/>
        <v>0</v>
      </c>
      <c r="V43" s="114">
        <f t="shared" si="10"/>
        <v>0</v>
      </c>
      <c r="W43" s="114">
        <f t="shared" si="10"/>
        <v>0</v>
      </c>
      <c r="X43" s="114">
        <f t="shared" si="10"/>
        <v>0</v>
      </c>
      <c r="Y43" s="114">
        <f t="shared" si="10"/>
        <v>36.630000000000109</v>
      </c>
      <c r="Z43" s="114">
        <f t="shared" si="10"/>
        <v>0.34999999999854481</v>
      </c>
      <c r="AA43" s="114">
        <f t="shared" si="10"/>
        <v>0</v>
      </c>
      <c r="AB43" s="114">
        <f t="shared" si="10"/>
        <v>0.20000000000004547</v>
      </c>
      <c r="AC43" s="114">
        <f t="shared" si="10"/>
        <v>-0.22000000000002728</v>
      </c>
      <c r="AD43" s="114">
        <f t="shared" si="10"/>
        <v>0</v>
      </c>
      <c r="AE43" s="114">
        <f t="shared" si="10"/>
        <v>144.96000000000095</v>
      </c>
      <c r="AF43" s="114">
        <f t="shared" si="10"/>
        <v>-118.4600000000064</v>
      </c>
      <c r="AG43" s="114">
        <f t="shared" si="10"/>
        <v>0</v>
      </c>
      <c r="AH43" s="115">
        <f>SUM(C43:AG43)</f>
        <v>24.369999999992615</v>
      </c>
      <c r="AI43" s="62"/>
      <c r="AJ43" s="210" t="s">
        <v>32</v>
      </c>
      <c r="AK43" s="211" t="s">
        <v>92</v>
      </c>
      <c r="AL43" s="270">
        <f>AH43</f>
        <v>24.369999999992615</v>
      </c>
      <c r="AM43" s="271"/>
      <c r="AN43" s="273" t="s">
        <v>131</v>
      </c>
    </row>
    <row r="44" spans="1:40" s="102" customFormat="1" ht="16.5" thickBot="1" x14ac:dyDescent="0.3">
      <c r="A44" s="223"/>
      <c r="B44" s="224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225"/>
      <c r="AI44" s="62"/>
      <c r="AJ44" s="223"/>
      <c r="AK44" s="224"/>
      <c r="AL44" s="99"/>
      <c r="AM44" s="459">
        <f>AL39+AL43+AM43+AL45+AM45</f>
        <v>152144.07999999999</v>
      </c>
      <c r="AN44" s="102">
        <f>AM44-AH29</f>
        <v>0</v>
      </c>
    </row>
    <row r="45" spans="1:40" s="99" customFormat="1" ht="16.5" thickBot="1" x14ac:dyDescent="0.3">
      <c r="A45" s="210" t="s">
        <v>208</v>
      </c>
      <c r="B45" s="101" t="s">
        <v>207</v>
      </c>
      <c r="C45" s="449">
        <v>130.31</v>
      </c>
      <c r="D45" s="449">
        <v>139.31</v>
      </c>
      <c r="E45" s="449">
        <v>54.66</v>
      </c>
      <c r="F45" s="449">
        <v>71.8</v>
      </c>
      <c r="G45" s="449"/>
      <c r="H45" s="449">
        <v>65.819999999999993</v>
      </c>
      <c r="I45" s="449">
        <v>47.6</v>
      </c>
      <c r="J45" s="449">
        <v>83</v>
      </c>
      <c r="K45" s="449">
        <v>123.13</v>
      </c>
      <c r="L45" s="449">
        <v>55.28</v>
      </c>
      <c r="M45" s="449">
        <v>45.78</v>
      </c>
      <c r="N45" s="449"/>
      <c r="O45" s="449">
        <v>27.13</v>
      </c>
      <c r="P45" s="449">
        <v>35.29</v>
      </c>
      <c r="Q45" s="449">
        <v>59.87</v>
      </c>
      <c r="R45" s="449">
        <v>105.58</v>
      </c>
      <c r="S45" s="449">
        <v>57</v>
      </c>
      <c r="T45" s="449"/>
      <c r="U45" s="449"/>
      <c r="V45" s="449"/>
      <c r="W45" s="449"/>
      <c r="X45" s="449"/>
      <c r="Y45" s="449">
        <v>147.99</v>
      </c>
      <c r="Z45" s="449">
        <v>111.57</v>
      </c>
      <c r="AA45" s="458">
        <v>49.68</v>
      </c>
      <c r="AB45" s="458">
        <v>17.07</v>
      </c>
      <c r="AC45" s="458">
        <v>23.66</v>
      </c>
      <c r="AD45" s="458">
        <v>75.290000000000006</v>
      </c>
      <c r="AE45" s="458">
        <v>111.67</v>
      </c>
      <c r="AF45" s="458">
        <v>148.47</v>
      </c>
      <c r="AG45" s="280"/>
      <c r="AH45" s="115">
        <f t="shared" ref="AH45" si="11">SUM(C45:AG45)</f>
        <v>1786.96</v>
      </c>
      <c r="AI45" s="62"/>
      <c r="AJ45" s="210" t="s">
        <v>208</v>
      </c>
      <c r="AK45" s="211" t="s">
        <v>209</v>
      </c>
      <c r="AL45" s="270">
        <f>SUM(C45:Z45)</f>
        <v>1361.12</v>
      </c>
      <c r="AM45" s="271">
        <f>SUM(AA45:AG45)</f>
        <v>425.84000000000003</v>
      </c>
      <c r="AN45" s="273"/>
    </row>
    <row r="46" spans="1:40" s="102" customFormat="1" ht="16.5" thickBot="1" x14ac:dyDescent="0.3">
      <c r="A46" s="223"/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5"/>
      <c r="AI46" s="62"/>
      <c r="AJ46" s="223"/>
      <c r="AK46" s="224"/>
      <c r="AL46" s="99"/>
    </row>
    <row r="47" spans="1:40" x14ac:dyDescent="0.25">
      <c r="A47" s="126"/>
      <c r="B47" s="212" t="s">
        <v>57</v>
      </c>
      <c r="C47" s="84">
        <v>166</v>
      </c>
      <c r="D47" s="84">
        <v>345</v>
      </c>
      <c r="E47" s="84">
        <v>124</v>
      </c>
      <c r="F47" s="84">
        <v>156</v>
      </c>
      <c r="G47" s="84"/>
      <c r="H47" s="84">
        <v>99</v>
      </c>
      <c r="I47" s="84">
        <v>136</v>
      </c>
      <c r="J47" s="84">
        <v>186</v>
      </c>
      <c r="K47" s="84">
        <v>267</v>
      </c>
      <c r="L47" s="84">
        <v>171</v>
      </c>
      <c r="M47" s="84">
        <v>87</v>
      </c>
      <c r="N47" s="84"/>
      <c r="O47" s="84">
        <v>76</v>
      </c>
      <c r="P47" s="84">
        <v>83</v>
      </c>
      <c r="Q47" s="84">
        <v>167</v>
      </c>
      <c r="R47" s="84">
        <v>383</v>
      </c>
      <c r="S47" s="84">
        <v>196</v>
      </c>
      <c r="T47" s="84"/>
      <c r="U47" s="84"/>
      <c r="V47" s="84"/>
      <c r="W47" s="84"/>
      <c r="X47" s="84"/>
      <c r="Y47" s="84">
        <v>342</v>
      </c>
      <c r="Z47" s="84">
        <v>196</v>
      </c>
      <c r="AA47" s="84">
        <v>80</v>
      </c>
      <c r="AB47" s="84">
        <v>67</v>
      </c>
      <c r="AC47" s="84">
        <v>81</v>
      </c>
      <c r="AD47" s="84">
        <v>139</v>
      </c>
      <c r="AE47" s="84">
        <v>201</v>
      </c>
      <c r="AF47" s="84">
        <v>361</v>
      </c>
      <c r="AG47" s="84"/>
      <c r="AH47" s="103">
        <f>SUM(C47:AG47)</f>
        <v>4109</v>
      </c>
      <c r="AJ47" s="126">
        <f>AH47</f>
        <v>4109</v>
      </c>
      <c r="AK47" s="217" t="s">
        <v>57</v>
      </c>
      <c r="AL47" s="102"/>
      <c r="AM47" s="102"/>
      <c r="AN47" s="102"/>
    </row>
    <row r="48" spans="1:40" ht="16.5" thickBot="1" x14ac:dyDescent="0.3">
      <c r="A48" s="135"/>
      <c r="B48" s="213" t="s">
        <v>58</v>
      </c>
      <c r="C48" s="94">
        <v>41</v>
      </c>
      <c r="D48" s="94">
        <v>75</v>
      </c>
      <c r="E48" s="94">
        <v>56</v>
      </c>
      <c r="F48" s="94">
        <v>57</v>
      </c>
      <c r="G48" s="94"/>
      <c r="H48" s="94">
        <v>50</v>
      </c>
      <c r="I48" s="94">
        <v>31</v>
      </c>
      <c r="J48" s="94">
        <v>69</v>
      </c>
      <c r="K48" s="94">
        <v>72</v>
      </c>
      <c r="L48" s="94">
        <v>34</v>
      </c>
      <c r="M48" s="94">
        <v>35</v>
      </c>
      <c r="N48" s="94"/>
      <c r="O48" s="94">
        <v>25</v>
      </c>
      <c r="P48" s="94">
        <v>34</v>
      </c>
      <c r="Q48" s="94">
        <v>50</v>
      </c>
      <c r="R48" s="94">
        <v>57</v>
      </c>
      <c r="S48" s="94">
        <v>76</v>
      </c>
      <c r="T48" s="94"/>
      <c r="U48" s="94"/>
      <c r="V48" s="94"/>
      <c r="W48" s="94"/>
      <c r="X48" s="94"/>
      <c r="Y48" s="94">
        <v>47</v>
      </c>
      <c r="Z48" s="94">
        <v>63</v>
      </c>
      <c r="AA48" s="94">
        <v>36</v>
      </c>
      <c r="AB48" s="94">
        <v>24</v>
      </c>
      <c r="AC48" s="94">
        <v>28</v>
      </c>
      <c r="AD48" s="94">
        <v>41</v>
      </c>
      <c r="AE48" s="94">
        <v>52</v>
      </c>
      <c r="AF48" s="94">
        <v>87</v>
      </c>
      <c r="AG48" s="94"/>
      <c r="AH48" s="105">
        <f>SUM(C48:AG48)</f>
        <v>1140</v>
      </c>
      <c r="AJ48" s="135">
        <f>AH48</f>
        <v>1140</v>
      </c>
      <c r="AK48" s="218" t="s">
        <v>58</v>
      </c>
    </row>
    <row r="49" spans="1:37" ht="16.5" thickBot="1" x14ac:dyDescent="0.3">
      <c r="A49" s="222"/>
      <c r="B49" s="22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2"/>
      <c r="AK49" s="226"/>
    </row>
    <row r="50" spans="1:37" ht="16.5" thickBot="1" x14ac:dyDescent="0.3">
      <c r="A50" s="210"/>
      <c r="B50" s="211" t="s">
        <v>109</v>
      </c>
      <c r="C50" s="211">
        <f>C47+C48</f>
        <v>207</v>
      </c>
      <c r="D50" s="211">
        <f t="shared" ref="D50:AG50" si="12">D47+D48</f>
        <v>420</v>
      </c>
      <c r="E50" s="211">
        <f t="shared" si="12"/>
        <v>180</v>
      </c>
      <c r="F50" s="211">
        <f t="shared" si="12"/>
        <v>213</v>
      </c>
      <c r="G50" s="211">
        <f t="shared" si="12"/>
        <v>0</v>
      </c>
      <c r="H50" s="211">
        <f t="shared" si="12"/>
        <v>149</v>
      </c>
      <c r="I50" s="211">
        <f t="shared" si="12"/>
        <v>167</v>
      </c>
      <c r="J50" s="211">
        <f t="shared" si="12"/>
        <v>255</v>
      </c>
      <c r="K50" s="211">
        <f t="shared" si="12"/>
        <v>339</v>
      </c>
      <c r="L50" s="211">
        <f t="shared" si="12"/>
        <v>205</v>
      </c>
      <c r="M50" s="211">
        <f t="shared" si="12"/>
        <v>122</v>
      </c>
      <c r="N50" s="211">
        <f t="shared" si="12"/>
        <v>0</v>
      </c>
      <c r="O50" s="211">
        <f t="shared" si="12"/>
        <v>101</v>
      </c>
      <c r="P50" s="211">
        <f t="shared" si="12"/>
        <v>117</v>
      </c>
      <c r="Q50" s="211">
        <f t="shared" si="12"/>
        <v>217</v>
      </c>
      <c r="R50" s="211">
        <f t="shared" si="12"/>
        <v>440</v>
      </c>
      <c r="S50" s="211">
        <f t="shared" si="12"/>
        <v>272</v>
      </c>
      <c r="T50" s="211">
        <f t="shared" si="12"/>
        <v>0</v>
      </c>
      <c r="U50" s="211">
        <f t="shared" si="12"/>
        <v>0</v>
      </c>
      <c r="V50" s="211">
        <f t="shared" si="12"/>
        <v>0</v>
      </c>
      <c r="W50" s="211">
        <f t="shared" si="12"/>
        <v>0</v>
      </c>
      <c r="X50" s="211">
        <f t="shared" si="12"/>
        <v>0</v>
      </c>
      <c r="Y50" s="211">
        <f t="shared" si="12"/>
        <v>389</v>
      </c>
      <c r="Z50" s="211">
        <f t="shared" si="12"/>
        <v>259</v>
      </c>
      <c r="AA50" s="211">
        <f t="shared" si="12"/>
        <v>116</v>
      </c>
      <c r="AB50" s="211">
        <f t="shared" si="12"/>
        <v>91</v>
      </c>
      <c r="AC50" s="211">
        <f t="shared" si="12"/>
        <v>109</v>
      </c>
      <c r="AD50" s="211">
        <f t="shared" si="12"/>
        <v>180</v>
      </c>
      <c r="AE50" s="211">
        <f t="shared" si="12"/>
        <v>253</v>
      </c>
      <c r="AF50" s="211">
        <f t="shared" si="12"/>
        <v>448</v>
      </c>
      <c r="AG50" s="280">
        <f t="shared" si="12"/>
        <v>0</v>
      </c>
      <c r="AH50" s="279">
        <f>SUM(C50:AG50)</f>
        <v>5249</v>
      </c>
      <c r="AJ50" s="210">
        <f>AH50</f>
        <v>5249</v>
      </c>
      <c r="AK50" s="219" t="s">
        <v>109</v>
      </c>
    </row>
    <row r="51" spans="1:37" ht="16.5" thickBot="1" x14ac:dyDescent="0.3">
      <c r="A51" s="223"/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5"/>
      <c r="AJ51" s="224"/>
      <c r="AK51" s="224"/>
    </row>
    <row r="52" spans="1:37" ht="16.5" thickBot="1" x14ac:dyDescent="0.3">
      <c r="A52" s="210"/>
      <c r="B52" s="211" t="s">
        <v>108</v>
      </c>
      <c r="C52" s="214">
        <f t="shared" ref="C52:AG52" si="13">IF(C50&lt;=1,0,IF(C50&gt;=0,(SUM(C4+C7+(C18*0.5))/C50)))</f>
        <v>11.824154589371981</v>
      </c>
      <c r="D52" s="214">
        <f t="shared" si="13"/>
        <v>11.687619047619048</v>
      </c>
      <c r="E52" s="214">
        <f t="shared" si="13"/>
        <v>8.9888888888888889</v>
      </c>
      <c r="F52" s="214">
        <f t="shared" si="13"/>
        <v>10.088262910798123</v>
      </c>
      <c r="G52" s="214">
        <f t="shared" si="13"/>
        <v>0</v>
      </c>
      <c r="H52" s="214">
        <f t="shared" si="13"/>
        <v>9.036241610738255</v>
      </c>
      <c r="I52" s="214">
        <f t="shared" si="13"/>
        <v>11.037125748502994</v>
      </c>
      <c r="J52" s="214">
        <f t="shared" si="13"/>
        <v>9.2298039215686263</v>
      </c>
      <c r="K52" s="214">
        <f t="shared" si="13"/>
        <v>10.866076696165191</v>
      </c>
      <c r="L52" s="214">
        <f t="shared" si="13"/>
        <v>11.406829268292684</v>
      </c>
      <c r="M52" s="214">
        <f t="shared" si="13"/>
        <v>10.049180327868852</v>
      </c>
      <c r="N52" s="214">
        <f t="shared" si="13"/>
        <v>0</v>
      </c>
      <c r="O52" s="214">
        <f t="shared" si="13"/>
        <v>7.2792079207920795</v>
      </c>
      <c r="P52" s="214">
        <f t="shared" si="13"/>
        <v>9.3811965811965798</v>
      </c>
      <c r="Q52" s="214">
        <f t="shared" si="13"/>
        <v>10.15852534562212</v>
      </c>
      <c r="R52" s="214">
        <f t="shared" si="13"/>
        <v>7.7345454545454544</v>
      </c>
      <c r="S52" s="214">
        <f t="shared" si="13"/>
        <v>9.1220588235294109</v>
      </c>
      <c r="T52" s="214">
        <f t="shared" si="13"/>
        <v>0</v>
      </c>
      <c r="U52" s="214">
        <f t="shared" si="13"/>
        <v>0</v>
      </c>
      <c r="V52" s="214">
        <f t="shared" si="13"/>
        <v>0</v>
      </c>
      <c r="W52" s="214">
        <f t="shared" si="13"/>
        <v>0</v>
      </c>
      <c r="X52" s="214">
        <f t="shared" si="13"/>
        <v>0</v>
      </c>
      <c r="Y52" s="214">
        <f t="shared" si="13"/>
        <v>11.690488431876608</v>
      </c>
      <c r="Z52" s="214">
        <f t="shared" si="13"/>
        <v>12.452509652509653</v>
      </c>
      <c r="AA52" s="214">
        <f t="shared" si="13"/>
        <v>9.2586206896551726</v>
      </c>
      <c r="AB52" s="214">
        <f t="shared" si="13"/>
        <v>9.3670329670329675</v>
      </c>
      <c r="AC52" s="214">
        <f t="shared" si="13"/>
        <v>9.427522935779816</v>
      </c>
      <c r="AD52" s="214">
        <f t="shared" si="13"/>
        <v>8.1777777777777771</v>
      </c>
      <c r="AE52" s="214">
        <f t="shared" si="13"/>
        <v>10.349407114624507</v>
      </c>
      <c r="AF52" s="214">
        <f t="shared" si="13"/>
        <v>11.429464285714285</v>
      </c>
      <c r="AG52" s="214">
        <f t="shared" si="13"/>
        <v>0</v>
      </c>
      <c r="AH52" s="279">
        <f>IFERROR(AVERAGEIF(C52:AG52, "&lt;&gt;0"),)</f>
        <v>10.001849608281352</v>
      </c>
      <c r="AJ52" s="220">
        <f>AH52</f>
        <v>10.001849608281352</v>
      </c>
      <c r="AK52" s="221" t="s">
        <v>110</v>
      </c>
    </row>
    <row r="53" spans="1:37" ht="16.5" thickBot="1" x14ac:dyDescent="0.3"/>
    <row r="54" spans="1:37" ht="16.5" thickBot="1" x14ac:dyDescent="0.3">
      <c r="A54" s="210"/>
      <c r="B54" s="211" t="s">
        <v>122</v>
      </c>
      <c r="C54" s="241">
        <f t="shared" ref="C54:AG54" si="14">IF(C47&lt;=1,0,IF(C47&gt;=0,(SUM(C4+C7+(C18*0.5))/C47)))</f>
        <v>14.744578313253012</v>
      </c>
      <c r="D54" s="241">
        <f t="shared" si="14"/>
        <v>14.22840579710145</v>
      </c>
      <c r="E54" s="241">
        <f t="shared" si="14"/>
        <v>13.048387096774194</v>
      </c>
      <c r="F54" s="241">
        <f t="shared" si="14"/>
        <v>13.774358974358975</v>
      </c>
      <c r="G54" s="241">
        <f t="shared" si="14"/>
        <v>0</v>
      </c>
      <c r="H54" s="241">
        <f t="shared" si="14"/>
        <v>13.600000000000001</v>
      </c>
      <c r="I54" s="241">
        <f t="shared" si="14"/>
        <v>13.552941176470588</v>
      </c>
      <c r="J54" s="241">
        <f t="shared" si="14"/>
        <v>12.653763440860214</v>
      </c>
      <c r="K54" s="241">
        <f t="shared" si="14"/>
        <v>13.796254681647939</v>
      </c>
      <c r="L54" s="241">
        <f t="shared" si="14"/>
        <v>13.674853801169592</v>
      </c>
      <c r="M54" s="241">
        <f t="shared" si="14"/>
        <v>14.091954022988507</v>
      </c>
      <c r="N54" s="241">
        <f t="shared" si="14"/>
        <v>0</v>
      </c>
      <c r="O54" s="241">
        <f t="shared" si="14"/>
        <v>9.6736842105263161</v>
      </c>
      <c r="P54" s="241">
        <f t="shared" si="14"/>
        <v>13.224096385542168</v>
      </c>
      <c r="Q54" s="241">
        <f t="shared" si="14"/>
        <v>13.200000000000001</v>
      </c>
      <c r="R54" s="241">
        <f t="shared" si="14"/>
        <v>8.8856396866840726</v>
      </c>
      <c r="S54" s="241">
        <f t="shared" si="14"/>
        <v>12.659183673469387</v>
      </c>
      <c r="T54" s="241">
        <f t="shared" si="14"/>
        <v>0</v>
      </c>
      <c r="U54" s="241">
        <f t="shared" si="14"/>
        <v>0</v>
      </c>
      <c r="V54" s="241">
        <f t="shared" si="14"/>
        <v>0</v>
      </c>
      <c r="W54" s="241">
        <f t="shared" si="14"/>
        <v>0</v>
      </c>
      <c r="X54" s="241">
        <f t="shared" si="14"/>
        <v>0</v>
      </c>
      <c r="Y54" s="241">
        <f t="shared" si="14"/>
        <v>13.297076023391813</v>
      </c>
      <c r="Z54" s="241">
        <f t="shared" si="14"/>
        <v>16.455102040816325</v>
      </c>
      <c r="AA54" s="241">
        <f t="shared" si="14"/>
        <v>13.425000000000001</v>
      </c>
      <c r="AB54" s="241">
        <f t="shared" si="14"/>
        <v>12.722388059701492</v>
      </c>
      <c r="AC54" s="241">
        <f t="shared" si="14"/>
        <v>12.686419753086419</v>
      </c>
      <c r="AD54" s="241">
        <f t="shared" si="14"/>
        <v>10.589928057553957</v>
      </c>
      <c r="AE54" s="241">
        <f t="shared" si="14"/>
        <v>13.026865671641792</v>
      </c>
      <c r="AF54" s="241">
        <f t="shared" si="14"/>
        <v>14.183933518005539</v>
      </c>
      <c r="AG54" s="241">
        <f t="shared" si="14"/>
        <v>0</v>
      </c>
      <c r="AH54" s="278">
        <f>IFERROR(AVERAGEIF(C54:AG54, "&lt;&gt;0"),)</f>
        <v>13.095426712393206</v>
      </c>
      <c r="AI54" s="242"/>
      <c r="AJ54" s="243">
        <f>AH54</f>
        <v>13.095426712393206</v>
      </c>
      <c r="AK54" s="221" t="s">
        <v>123</v>
      </c>
    </row>
    <row r="55" spans="1:37" ht="16.5" thickBot="1" x14ac:dyDescent="0.3"/>
    <row r="56" spans="1:37" ht="16.5" thickBot="1" x14ac:dyDescent="0.3">
      <c r="A56" s="295"/>
      <c r="B56" s="296" t="s">
        <v>135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136</v>
      </c>
      <c r="AJ56" s="299" t="s">
        <v>136</v>
      </c>
      <c r="AK56" s="300" t="s">
        <v>133</v>
      </c>
    </row>
    <row r="57" spans="1:37" x14ac:dyDescent="0.25">
      <c r="A57" s="90"/>
      <c r="B57" s="301" t="s">
        <v>137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302">
        <f>IFERROR(AVERAGEIF(C57:AG57,"&lt;&gt;0"),)</f>
        <v>0</v>
      </c>
      <c r="AJ57" s="303">
        <f>AH57</f>
        <v>0</v>
      </c>
      <c r="AK57" s="304" t="s">
        <v>138</v>
      </c>
    </row>
    <row r="58" spans="1:37" x14ac:dyDescent="0.25">
      <c r="A58" s="90"/>
      <c r="B58" s="301" t="s">
        <v>160</v>
      </c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302">
        <f t="shared" ref="AH58:AH60" si="15">IFERROR(AVERAGEIF(C58:AG58,"&lt;&gt;0"),)</f>
        <v>0</v>
      </c>
      <c r="AJ58" s="305">
        <f>AH58</f>
        <v>0</v>
      </c>
      <c r="AK58" s="306" t="s">
        <v>139</v>
      </c>
    </row>
    <row r="59" spans="1:37" x14ac:dyDescent="0.25">
      <c r="A59" s="90"/>
      <c r="B59" s="301" t="s">
        <v>140</v>
      </c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2">
        <f t="shared" si="15"/>
        <v>0</v>
      </c>
      <c r="AJ59" s="305">
        <f>AH59</f>
        <v>0</v>
      </c>
      <c r="AK59" s="306" t="s">
        <v>141</v>
      </c>
    </row>
    <row r="60" spans="1:37" ht="16.5" thickBot="1" x14ac:dyDescent="0.3">
      <c r="A60" s="81"/>
      <c r="B60" s="307" t="s">
        <v>142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5"/>
        <v>0</v>
      </c>
      <c r="AJ60" s="310">
        <f>AH60</f>
        <v>0</v>
      </c>
      <c r="AK60" s="82" t="s">
        <v>143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9" priority="12" operator="notEqual">
      <formula>0</formula>
    </cfRule>
  </conditionalFormatting>
  <conditionalFormatting sqref="C43:AG43">
    <cfRule type="cellIs" dxfId="8" priority="11" operator="notEqual">
      <formula>0</formula>
    </cfRule>
  </conditionalFormatting>
  <conditionalFormatting sqref="C31:AH3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41:AG4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N39">
    <cfRule type="cellIs" dxfId="3" priority="3" operator="lessThan">
      <formula>0</formula>
    </cfRule>
    <cfRule type="cellIs" dxfId="2" priority="4" operator="greaterThan">
      <formula>0</formula>
    </cfRule>
  </conditionalFormatting>
  <pageMargins left="0" right="0" top="0.75" bottom="0.75" header="0.3" footer="0.3"/>
  <pageSetup paperSize="17" scale="59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6" workbookViewId="0">
      <selection sqref="A1:B1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473"/>
      <c r="B1" s="474"/>
      <c r="C1" s="316" t="s">
        <v>146</v>
      </c>
      <c r="D1" s="317" t="s">
        <v>63</v>
      </c>
      <c r="E1" s="317" t="s">
        <v>35</v>
      </c>
      <c r="F1" s="317" t="s">
        <v>147</v>
      </c>
      <c r="G1" s="317" t="s">
        <v>114</v>
      </c>
      <c r="H1" s="317" t="s">
        <v>79</v>
      </c>
      <c r="I1" s="317" t="s">
        <v>41</v>
      </c>
      <c r="J1" s="318"/>
      <c r="K1" s="319" t="s">
        <v>137</v>
      </c>
      <c r="L1" s="319" t="s">
        <v>148</v>
      </c>
      <c r="M1" s="319" t="s">
        <v>140</v>
      </c>
      <c r="N1" s="318"/>
      <c r="O1" s="319" t="s">
        <v>149</v>
      </c>
    </row>
    <row r="2" spans="1:15" x14ac:dyDescent="0.25">
      <c r="A2" s="320">
        <f>'Cash Flow'!A8</f>
        <v>44652</v>
      </c>
      <c r="B2" s="355" t="str">
        <f>TEXT(A2,"ddd")</f>
        <v>Fri</v>
      </c>
      <c r="C2" s="321">
        <f t="array" ref="C2:C32">TRANSPOSE(Pool!C4:AG4)+TRANSPOSE(Pool!C18:AG18*0.5)</f>
        <v>2447.6</v>
      </c>
      <c r="D2" s="321">
        <f t="array" ref="D2:D32">TRANSPOSE(Pool!C6:AG6)</f>
        <v>0</v>
      </c>
      <c r="E2" s="321">
        <f t="array" ref="E2:E32">TRANSPOSE(Pool!C14:AG14)</f>
        <v>50</v>
      </c>
      <c r="F2" s="321">
        <f t="array" ref="F2:F32">TRANSPOSE(Pool!C15:AG15)</f>
        <v>194.64</v>
      </c>
      <c r="G2" s="321">
        <f t="array" ref="G2:G32">TRANSPOSE(Pool!C16:AG16)</f>
        <v>0</v>
      </c>
      <c r="H2" s="321">
        <f t="array" ref="H2:H32">TRANSPOSE(Pool!C17:AG17)+TRANSPOSE(Pool!C18:AG18*0.5)</f>
        <v>16</v>
      </c>
      <c r="I2" s="324">
        <f t="array" ref="I2:I32">TRANSPOSE(Pool!C21:AG21)</f>
        <v>0</v>
      </c>
      <c r="J2" s="327"/>
      <c r="K2" s="328">
        <f t="array" ref="K2:K32">TRANSPOSE(Pool!C57:AG57)</f>
        <v>0</v>
      </c>
      <c r="L2" s="331">
        <f t="array" ref="L2:L32">TRANSPOSE(Pool!C58:AG58)</f>
        <v>0</v>
      </c>
      <c r="M2" s="334">
        <f t="array" ref="M2:M32">TRANSPOSE(Pool!C59:AG59)</f>
        <v>0</v>
      </c>
      <c r="N2" s="327"/>
      <c r="O2" s="338">
        <f t="array" ref="O2:O32">TRANSPOSE(Pool!C50:AG50)</f>
        <v>207</v>
      </c>
    </row>
    <row r="3" spans="1:15" x14ac:dyDescent="0.25">
      <c r="A3" s="341">
        <f t="shared" ref="A3:A32" si="0">SUM(A2+1)</f>
        <v>44653</v>
      </c>
      <c r="B3" s="356" t="str">
        <f>TEXT(A3,"ddd")</f>
        <v>Sat</v>
      </c>
      <c r="C3" s="322">
        <v>4908.8</v>
      </c>
      <c r="D3" s="322">
        <v>0</v>
      </c>
      <c r="E3" s="322">
        <v>4</v>
      </c>
      <c r="F3" s="322">
        <v>288.32</v>
      </c>
      <c r="G3" s="322">
        <v>0</v>
      </c>
      <c r="H3" s="322">
        <v>106</v>
      </c>
      <c r="I3" s="325">
        <v>0</v>
      </c>
      <c r="J3" s="327"/>
      <c r="K3" s="329">
        <v>0</v>
      </c>
      <c r="L3" s="332">
        <v>0</v>
      </c>
      <c r="M3" s="335">
        <v>0</v>
      </c>
      <c r="N3" s="327"/>
      <c r="O3" s="339">
        <v>420</v>
      </c>
    </row>
    <row r="4" spans="1:15" x14ac:dyDescent="0.25">
      <c r="A4" s="341">
        <f t="shared" si="0"/>
        <v>44654</v>
      </c>
      <c r="B4" s="356" t="str">
        <f>TEXT(A4,"DDD")</f>
        <v>Sun</v>
      </c>
      <c r="C4" s="322">
        <v>1618</v>
      </c>
      <c r="D4" s="322">
        <v>0</v>
      </c>
      <c r="E4" s="322">
        <v>64</v>
      </c>
      <c r="F4" s="322">
        <v>60.96</v>
      </c>
      <c r="G4" s="322">
        <v>0</v>
      </c>
      <c r="H4" s="322">
        <v>145</v>
      </c>
      <c r="I4" s="325">
        <v>0</v>
      </c>
      <c r="J4" s="327"/>
      <c r="K4" s="329">
        <v>0</v>
      </c>
      <c r="L4" s="332">
        <v>0</v>
      </c>
      <c r="M4" s="335">
        <v>0</v>
      </c>
      <c r="N4" s="327"/>
      <c r="O4" s="339">
        <v>180</v>
      </c>
    </row>
    <row r="5" spans="1:15" x14ac:dyDescent="0.25">
      <c r="A5" s="341">
        <f t="shared" si="0"/>
        <v>44655</v>
      </c>
      <c r="B5" s="356" t="str">
        <f>TEXT(A5,"ddd")</f>
        <v>Mon</v>
      </c>
      <c r="C5" s="322">
        <v>2148.8000000000002</v>
      </c>
      <c r="D5" s="322">
        <v>0</v>
      </c>
      <c r="E5" s="322">
        <v>0</v>
      </c>
      <c r="F5" s="322">
        <v>200.49</v>
      </c>
      <c r="G5" s="322">
        <v>0</v>
      </c>
      <c r="H5" s="322">
        <v>137.5</v>
      </c>
      <c r="I5" s="325">
        <v>0</v>
      </c>
      <c r="J5" s="327"/>
      <c r="K5" s="329">
        <v>0</v>
      </c>
      <c r="L5" s="332">
        <v>0</v>
      </c>
      <c r="M5" s="335">
        <v>0</v>
      </c>
      <c r="N5" s="327"/>
      <c r="O5" s="339">
        <v>213</v>
      </c>
    </row>
    <row r="6" spans="1:15" x14ac:dyDescent="0.25">
      <c r="A6" s="341">
        <f t="shared" si="0"/>
        <v>44656</v>
      </c>
      <c r="B6" s="356" t="str">
        <f>TEXT(A6,"DDD")</f>
        <v>Tue</v>
      </c>
      <c r="C6" s="322"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5">
        <v>0</v>
      </c>
      <c r="J6" s="327"/>
      <c r="K6" s="329">
        <v>0</v>
      </c>
      <c r="L6" s="332">
        <v>0</v>
      </c>
      <c r="M6" s="335">
        <v>0</v>
      </c>
      <c r="N6" s="327"/>
      <c r="O6" s="339">
        <v>0</v>
      </c>
    </row>
    <row r="7" spans="1:15" x14ac:dyDescent="0.25">
      <c r="A7" s="341">
        <f t="shared" si="0"/>
        <v>44657</v>
      </c>
      <c r="B7" s="356" t="str">
        <f>TEXT(A7,"ddd")</f>
        <v>Wed</v>
      </c>
      <c r="C7" s="322">
        <v>1346.4</v>
      </c>
      <c r="D7" s="322">
        <v>0</v>
      </c>
      <c r="E7" s="322">
        <v>4</v>
      </c>
      <c r="F7" s="322">
        <v>95.1</v>
      </c>
      <c r="G7" s="322">
        <v>0</v>
      </c>
      <c r="H7" s="322">
        <v>80</v>
      </c>
      <c r="I7" s="325">
        <v>0</v>
      </c>
      <c r="J7" s="327"/>
      <c r="K7" s="329">
        <v>0</v>
      </c>
      <c r="L7" s="332">
        <v>0</v>
      </c>
      <c r="M7" s="335">
        <v>0</v>
      </c>
      <c r="N7" s="327"/>
      <c r="O7" s="339">
        <v>149</v>
      </c>
    </row>
    <row r="8" spans="1:15" x14ac:dyDescent="0.25">
      <c r="A8" s="341">
        <f t="shared" si="0"/>
        <v>44658</v>
      </c>
      <c r="B8" s="356" t="str">
        <f>TEXT(A8,"DDD")</f>
        <v>Thu</v>
      </c>
      <c r="C8" s="322">
        <v>1843.2</v>
      </c>
      <c r="D8" s="322">
        <v>0</v>
      </c>
      <c r="E8" s="322">
        <v>0</v>
      </c>
      <c r="F8" s="322">
        <v>63.5</v>
      </c>
      <c r="G8" s="322">
        <v>0</v>
      </c>
      <c r="H8" s="322">
        <v>0</v>
      </c>
      <c r="I8" s="325">
        <v>0</v>
      </c>
      <c r="J8" s="327"/>
      <c r="K8" s="329">
        <v>0</v>
      </c>
      <c r="L8" s="332">
        <v>0</v>
      </c>
      <c r="M8" s="335">
        <v>0</v>
      </c>
      <c r="N8" s="327"/>
      <c r="O8" s="339">
        <v>167</v>
      </c>
    </row>
    <row r="9" spans="1:15" x14ac:dyDescent="0.25">
      <c r="A9" s="341">
        <f t="shared" si="0"/>
        <v>44659</v>
      </c>
      <c r="B9" s="356" t="str">
        <f>TEXT(A9,"ddd")</f>
        <v>Fri</v>
      </c>
      <c r="C9" s="322">
        <v>2353.6</v>
      </c>
      <c r="D9" s="322">
        <v>0</v>
      </c>
      <c r="E9" s="322">
        <v>52</v>
      </c>
      <c r="F9" s="322">
        <v>34.07</v>
      </c>
      <c r="G9" s="322">
        <v>0</v>
      </c>
      <c r="H9" s="322">
        <v>0</v>
      </c>
      <c r="I9" s="325">
        <v>0</v>
      </c>
      <c r="J9" s="327"/>
      <c r="K9" s="329">
        <v>0</v>
      </c>
      <c r="L9" s="332">
        <v>0</v>
      </c>
      <c r="M9" s="336">
        <v>0</v>
      </c>
      <c r="N9" s="327"/>
      <c r="O9" s="339">
        <v>255</v>
      </c>
    </row>
    <row r="10" spans="1:15" x14ac:dyDescent="0.25">
      <c r="A10" s="341">
        <f t="shared" si="0"/>
        <v>44660</v>
      </c>
      <c r="B10" s="356" t="str">
        <f>TEXT(A10,"DDD")</f>
        <v>Sat</v>
      </c>
      <c r="C10" s="322">
        <v>3683.6</v>
      </c>
      <c r="D10" s="322">
        <v>0</v>
      </c>
      <c r="E10" s="322">
        <v>4</v>
      </c>
      <c r="F10" s="322">
        <v>246.56</v>
      </c>
      <c r="G10" s="322">
        <v>0</v>
      </c>
      <c r="H10" s="322">
        <v>0</v>
      </c>
      <c r="I10" s="325">
        <v>0</v>
      </c>
      <c r="J10" s="327"/>
      <c r="K10" s="329">
        <v>0</v>
      </c>
      <c r="L10" s="332">
        <v>0</v>
      </c>
      <c r="M10" s="335">
        <v>0</v>
      </c>
      <c r="N10" s="327"/>
      <c r="O10" s="339">
        <v>339</v>
      </c>
    </row>
    <row r="11" spans="1:15" x14ac:dyDescent="0.25">
      <c r="A11" s="341">
        <f t="shared" si="0"/>
        <v>44661</v>
      </c>
      <c r="B11" s="356" t="str">
        <f>TEXT(A11,"ddd")</f>
        <v>Sun</v>
      </c>
      <c r="C11" s="322">
        <v>2338.4</v>
      </c>
      <c r="D11" s="322">
        <v>0</v>
      </c>
      <c r="E11" s="322">
        <v>4</v>
      </c>
      <c r="F11" s="322">
        <v>94.19</v>
      </c>
      <c r="G11" s="322">
        <v>0</v>
      </c>
      <c r="H11" s="322">
        <v>75</v>
      </c>
      <c r="I11" s="325">
        <v>0</v>
      </c>
      <c r="J11" s="327"/>
      <c r="K11" s="329">
        <v>0</v>
      </c>
      <c r="L11" s="332">
        <v>0</v>
      </c>
      <c r="M11" s="335">
        <v>0</v>
      </c>
      <c r="N11" s="327"/>
      <c r="O11" s="339">
        <v>205</v>
      </c>
    </row>
    <row r="12" spans="1:15" x14ac:dyDescent="0.25">
      <c r="A12" s="341">
        <f t="shared" si="0"/>
        <v>44662</v>
      </c>
      <c r="B12" s="356" t="str">
        <f>TEXT(A12,"DDD")</f>
        <v>Mon</v>
      </c>
      <c r="C12" s="322">
        <v>1226</v>
      </c>
      <c r="D12" s="322">
        <v>0</v>
      </c>
      <c r="E12" s="322">
        <v>54</v>
      </c>
      <c r="F12" s="322">
        <v>167.5</v>
      </c>
      <c r="G12" s="322">
        <v>0</v>
      </c>
      <c r="H12" s="322">
        <v>75</v>
      </c>
      <c r="I12" s="325">
        <v>0</v>
      </c>
      <c r="J12" s="327"/>
      <c r="K12" s="329">
        <v>0</v>
      </c>
      <c r="L12" s="332">
        <v>0</v>
      </c>
      <c r="M12" s="335">
        <v>0</v>
      </c>
      <c r="N12" s="327"/>
      <c r="O12" s="339">
        <v>122</v>
      </c>
    </row>
    <row r="13" spans="1:15" x14ac:dyDescent="0.25">
      <c r="A13" s="341">
        <f t="shared" si="0"/>
        <v>44663</v>
      </c>
      <c r="B13" s="356" t="str">
        <f>TEXT(A13,"ddd")</f>
        <v>Tue</v>
      </c>
      <c r="C13" s="322">
        <v>0</v>
      </c>
      <c r="D13" s="322">
        <v>0</v>
      </c>
      <c r="E13" s="322">
        <v>0</v>
      </c>
      <c r="F13" s="322">
        <v>0</v>
      </c>
      <c r="G13" s="322">
        <v>0</v>
      </c>
      <c r="H13" s="322">
        <v>0</v>
      </c>
      <c r="I13" s="325">
        <v>0</v>
      </c>
      <c r="J13" s="327"/>
      <c r="K13" s="329">
        <v>0</v>
      </c>
      <c r="L13" s="332">
        <v>0</v>
      </c>
      <c r="M13" s="335">
        <v>0</v>
      </c>
      <c r="N13" s="327"/>
      <c r="O13" s="339">
        <v>0</v>
      </c>
    </row>
    <row r="14" spans="1:15" x14ac:dyDescent="0.25">
      <c r="A14" s="341">
        <f t="shared" si="0"/>
        <v>44664</v>
      </c>
      <c r="B14" s="356" t="str">
        <f>TEXT(A14,"DDD")</f>
        <v>Wed</v>
      </c>
      <c r="C14" s="322">
        <v>735.2</v>
      </c>
      <c r="D14" s="322">
        <v>0</v>
      </c>
      <c r="E14" s="322">
        <v>8</v>
      </c>
      <c r="F14" s="322">
        <v>78.44</v>
      </c>
      <c r="G14" s="322">
        <v>0</v>
      </c>
      <c r="H14" s="322">
        <v>0</v>
      </c>
      <c r="I14" s="325">
        <v>0</v>
      </c>
      <c r="J14" s="327"/>
      <c r="K14" s="329">
        <v>0</v>
      </c>
      <c r="L14" s="332">
        <v>0</v>
      </c>
      <c r="M14" s="335">
        <v>0</v>
      </c>
      <c r="N14" s="327"/>
      <c r="O14" s="339">
        <v>101</v>
      </c>
    </row>
    <row r="15" spans="1:15" x14ac:dyDescent="0.25">
      <c r="A15" s="341">
        <f t="shared" si="0"/>
        <v>44665</v>
      </c>
      <c r="B15" s="356" t="str">
        <f>TEXT(A15,"ddd")</f>
        <v>Thu</v>
      </c>
      <c r="C15" s="322">
        <v>1097.5999999999999</v>
      </c>
      <c r="D15" s="322">
        <v>0</v>
      </c>
      <c r="E15" s="322">
        <v>0</v>
      </c>
      <c r="F15" s="322">
        <v>85.42</v>
      </c>
      <c r="G15" s="322">
        <v>0</v>
      </c>
      <c r="H15" s="322">
        <v>0</v>
      </c>
      <c r="I15" s="325">
        <v>0</v>
      </c>
      <c r="J15" s="327"/>
      <c r="K15" s="329">
        <v>0</v>
      </c>
      <c r="L15" s="332">
        <v>0</v>
      </c>
      <c r="M15" s="335">
        <v>0</v>
      </c>
      <c r="N15" s="327"/>
      <c r="O15" s="339">
        <v>117</v>
      </c>
    </row>
    <row r="16" spans="1:15" x14ac:dyDescent="0.25">
      <c r="A16" s="341">
        <f t="shared" si="0"/>
        <v>44666</v>
      </c>
      <c r="B16" s="356" t="str">
        <f>TEXT(A16,"DDD")</f>
        <v>Fri</v>
      </c>
      <c r="C16" s="322">
        <v>2204.4</v>
      </c>
      <c r="D16" s="322">
        <v>0</v>
      </c>
      <c r="E16" s="322">
        <v>14</v>
      </c>
      <c r="F16" s="322">
        <v>215.33</v>
      </c>
      <c r="G16" s="322">
        <v>0</v>
      </c>
      <c r="H16" s="322">
        <v>96</v>
      </c>
      <c r="I16" s="325">
        <v>0</v>
      </c>
      <c r="J16" s="327"/>
      <c r="K16" s="329">
        <v>0</v>
      </c>
      <c r="L16" s="332">
        <v>0</v>
      </c>
      <c r="M16" s="335">
        <v>0</v>
      </c>
      <c r="N16" s="327"/>
      <c r="O16" s="339">
        <v>217</v>
      </c>
    </row>
    <row r="17" spans="1:15" x14ac:dyDescent="0.25">
      <c r="A17" s="341">
        <f t="shared" si="0"/>
        <v>44667</v>
      </c>
      <c r="B17" s="356" t="str">
        <f>TEXT(A17,"ddd")</f>
        <v>Sat</v>
      </c>
      <c r="C17" s="322">
        <v>3403.2</v>
      </c>
      <c r="D17" s="322">
        <v>0</v>
      </c>
      <c r="E17" s="322">
        <v>4</v>
      </c>
      <c r="F17" s="322">
        <v>293.66000000000003</v>
      </c>
      <c r="G17" s="322">
        <v>0</v>
      </c>
      <c r="H17" s="322">
        <v>110</v>
      </c>
      <c r="I17" s="325">
        <v>0</v>
      </c>
      <c r="J17" s="327"/>
      <c r="K17" s="329">
        <v>0</v>
      </c>
      <c r="L17" s="332">
        <v>0</v>
      </c>
      <c r="M17" s="335">
        <v>0</v>
      </c>
      <c r="N17" s="327"/>
      <c r="O17" s="339">
        <v>440</v>
      </c>
    </row>
    <row r="18" spans="1:15" x14ac:dyDescent="0.25">
      <c r="A18" s="341">
        <f t="shared" si="0"/>
        <v>44668</v>
      </c>
      <c r="B18" s="356" t="str">
        <f>TEXT(A18,"DDD")</f>
        <v>Sun</v>
      </c>
      <c r="C18" s="322">
        <v>2481.1999999999998</v>
      </c>
      <c r="D18" s="322">
        <v>0</v>
      </c>
      <c r="E18" s="322">
        <v>4</v>
      </c>
      <c r="F18" s="322">
        <v>157.72</v>
      </c>
      <c r="G18" s="322">
        <v>0</v>
      </c>
      <c r="H18" s="322">
        <v>0</v>
      </c>
      <c r="I18" s="325">
        <v>0</v>
      </c>
      <c r="J18" s="327"/>
      <c r="K18" s="329">
        <v>0</v>
      </c>
      <c r="L18" s="332">
        <v>0</v>
      </c>
      <c r="M18" s="335">
        <v>0</v>
      </c>
      <c r="N18" s="327"/>
      <c r="O18" s="339">
        <v>272</v>
      </c>
    </row>
    <row r="19" spans="1:15" x14ac:dyDescent="0.25">
      <c r="A19" s="341">
        <f t="shared" si="0"/>
        <v>44669</v>
      </c>
      <c r="B19" s="356" t="str">
        <f>TEXT(A19,"ddd")</f>
        <v>Mon</v>
      </c>
      <c r="C19" s="322">
        <v>0</v>
      </c>
      <c r="D19" s="322">
        <v>0</v>
      </c>
      <c r="E19" s="322">
        <v>40</v>
      </c>
      <c r="F19" s="322">
        <v>0</v>
      </c>
      <c r="G19" s="322">
        <v>0</v>
      </c>
      <c r="H19" s="322">
        <v>0</v>
      </c>
      <c r="I19" s="325">
        <v>0</v>
      </c>
      <c r="J19" s="327"/>
      <c r="K19" s="329">
        <v>0</v>
      </c>
      <c r="L19" s="332">
        <v>0</v>
      </c>
      <c r="M19" s="335">
        <v>0</v>
      </c>
      <c r="N19" s="327"/>
      <c r="O19" s="339">
        <v>0</v>
      </c>
    </row>
    <row r="20" spans="1:15" x14ac:dyDescent="0.25">
      <c r="A20" s="341">
        <f t="shared" si="0"/>
        <v>44670</v>
      </c>
      <c r="B20" s="356" t="str">
        <f>TEXT(A20,"DDD")</f>
        <v>Tue</v>
      </c>
      <c r="C20" s="322">
        <v>0</v>
      </c>
      <c r="D20" s="322">
        <v>0</v>
      </c>
      <c r="E20" s="322">
        <v>0</v>
      </c>
      <c r="F20" s="322">
        <v>0</v>
      </c>
      <c r="G20" s="322">
        <v>0</v>
      </c>
      <c r="H20" s="322">
        <v>0</v>
      </c>
      <c r="I20" s="325">
        <v>0</v>
      </c>
      <c r="J20" s="327"/>
      <c r="K20" s="329">
        <v>0</v>
      </c>
      <c r="L20" s="332">
        <v>0</v>
      </c>
      <c r="M20" s="335">
        <v>0</v>
      </c>
      <c r="N20" s="327"/>
      <c r="O20" s="339">
        <v>0</v>
      </c>
    </row>
    <row r="21" spans="1:15" x14ac:dyDescent="0.25">
      <c r="A21" s="341">
        <f t="shared" si="0"/>
        <v>44671</v>
      </c>
      <c r="B21" s="356" t="str">
        <f>TEXT(A21,"ddd")</f>
        <v>Wed</v>
      </c>
      <c r="C21" s="322">
        <v>0</v>
      </c>
      <c r="D21" s="322">
        <v>0</v>
      </c>
      <c r="E21" s="322">
        <v>0</v>
      </c>
      <c r="F21" s="322">
        <v>0</v>
      </c>
      <c r="G21" s="322">
        <v>0</v>
      </c>
      <c r="H21" s="322">
        <v>0</v>
      </c>
      <c r="I21" s="325">
        <v>0</v>
      </c>
      <c r="J21" s="327"/>
      <c r="K21" s="329">
        <v>0</v>
      </c>
      <c r="L21" s="332">
        <v>0</v>
      </c>
      <c r="M21" s="335">
        <v>0</v>
      </c>
      <c r="N21" s="327"/>
      <c r="O21" s="339">
        <v>0</v>
      </c>
    </row>
    <row r="22" spans="1:15" x14ac:dyDescent="0.25">
      <c r="A22" s="341">
        <f t="shared" si="0"/>
        <v>44672</v>
      </c>
      <c r="B22" s="356" t="str">
        <f>TEXT(A22,"DDD")</f>
        <v>Thu</v>
      </c>
      <c r="C22" s="322">
        <v>0</v>
      </c>
      <c r="D22" s="322">
        <v>0</v>
      </c>
      <c r="E22" s="322">
        <v>0</v>
      </c>
      <c r="F22" s="322">
        <v>0</v>
      </c>
      <c r="G22" s="322">
        <v>0</v>
      </c>
      <c r="H22" s="322">
        <v>0</v>
      </c>
      <c r="I22" s="325">
        <v>0</v>
      </c>
      <c r="J22" s="327"/>
      <c r="K22" s="329">
        <v>0</v>
      </c>
      <c r="L22" s="332">
        <v>0</v>
      </c>
      <c r="M22" s="335">
        <v>0</v>
      </c>
      <c r="N22" s="327"/>
      <c r="O22" s="339">
        <v>0</v>
      </c>
    </row>
    <row r="23" spans="1:15" x14ac:dyDescent="0.25">
      <c r="A23" s="341">
        <f t="shared" si="0"/>
        <v>44673</v>
      </c>
      <c r="B23" s="356" t="str">
        <f>TEXT(A23,"ddd")</f>
        <v>Fri</v>
      </c>
      <c r="C23" s="322">
        <v>0</v>
      </c>
      <c r="D23" s="322">
        <v>0</v>
      </c>
      <c r="E23" s="322">
        <v>0</v>
      </c>
      <c r="F23" s="322">
        <v>0</v>
      </c>
      <c r="G23" s="322">
        <v>0</v>
      </c>
      <c r="H23" s="322">
        <v>0</v>
      </c>
      <c r="I23" s="325">
        <v>0</v>
      </c>
      <c r="J23" s="327"/>
      <c r="K23" s="329">
        <v>0</v>
      </c>
      <c r="L23" s="332">
        <v>0</v>
      </c>
      <c r="M23" s="335">
        <v>0</v>
      </c>
      <c r="N23" s="327"/>
      <c r="O23" s="339">
        <v>0</v>
      </c>
    </row>
    <row r="24" spans="1:15" x14ac:dyDescent="0.25">
      <c r="A24" s="341">
        <f t="shared" si="0"/>
        <v>44674</v>
      </c>
      <c r="B24" s="356" t="str">
        <f>TEXT(A24,"DDD")</f>
        <v>Sat</v>
      </c>
      <c r="C24" s="322">
        <v>4547.6000000000004</v>
      </c>
      <c r="D24" s="322">
        <v>0</v>
      </c>
      <c r="E24" s="322">
        <v>0</v>
      </c>
      <c r="F24" s="322">
        <v>470.9</v>
      </c>
      <c r="G24" s="322">
        <v>0</v>
      </c>
      <c r="H24" s="322">
        <v>0</v>
      </c>
      <c r="I24" s="325">
        <v>0</v>
      </c>
      <c r="J24" s="327"/>
      <c r="K24" s="329">
        <v>0</v>
      </c>
      <c r="L24" s="332">
        <v>0</v>
      </c>
      <c r="M24" s="335">
        <v>0</v>
      </c>
      <c r="N24" s="327"/>
      <c r="O24" s="339">
        <v>389</v>
      </c>
    </row>
    <row r="25" spans="1:15" x14ac:dyDescent="0.25">
      <c r="A25" s="341">
        <f t="shared" si="0"/>
        <v>44675</v>
      </c>
      <c r="B25" s="356" t="str">
        <f>TEXT(A25,"ddd")</f>
        <v>Sun</v>
      </c>
      <c r="C25" s="322">
        <v>3225.2</v>
      </c>
      <c r="D25" s="322">
        <v>0</v>
      </c>
      <c r="E25" s="322">
        <v>0</v>
      </c>
      <c r="F25" s="322">
        <v>197.69</v>
      </c>
      <c r="G25" s="322">
        <v>0</v>
      </c>
      <c r="H25" s="322">
        <v>247.5</v>
      </c>
      <c r="I25" s="325">
        <v>0</v>
      </c>
      <c r="J25" s="327"/>
      <c r="K25" s="329">
        <v>0</v>
      </c>
      <c r="L25" s="332">
        <v>0</v>
      </c>
      <c r="M25" s="335">
        <v>0</v>
      </c>
      <c r="N25" s="327"/>
      <c r="O25" s="339">
        <v>259</v>
      </c>
    </row>
    <row r="26" spans="1:15" x14ac:dyDescent="0.25">
      <c r="A26" s="341">
        <f t="shared" si="0"/>
        <v>44676</v>
      </c>
      <c r="B26" s="356" t="str">
        <f>TEXT(A26,"DDD")</f>
        <v>Mon</v>
      </c>
      <c r="C26" s="322">
        <v>1074</v>
      </c>
      <c r="D26" s="322">
        <v>0</v>
      </c>
      <c r="E26" s="322">
        <v>102</v>
      </c>
      <c r="F26" s="322">
        <v>65.33</v>
      </c>
      <c r="G26" s="322">
        <v>0</v>
      </c>
      <c r="H26" s="322">
        <v>110</v>
      </c>
      <c r="I26" s="325">
        <v>0</v>
      </c>
      <c r="J26" s="327"/>
      <c r="K26" s="329">
        <v>0</v>
      </c>
      <c r="L26" s="332">
        <v>0</v>
      </c>
      <c r="M26" s="335">
        <v>0</v>
      </c>
      <c r="N26" s="327"/>
      <c r="O26" s="339">
        <v>116</v>
      </c>
    </row>
    <row r="27" spans="1:15" x14ac:dyDescent="0.25">
      <c r="A27" s="341">
        <f t="shared" si="0"/>
        <v>44677</v>
      </c>
      <c r="B27" s="356" t="str">
        <f>TEXT(A27,"ddd")</f>
        <v>Tue</v>
      </c>
      <c r="C27" s="322">
        <v>852.4</v>
      </c>
      <c r="D27" s="322">
        <v>0</v>
      </c>
      <c r="E27" s="322">
        <v>0</v>
      </c>
      <c r="F27" s="322">
        <v>63.33</v>
      </c>
      <c r="G27" s="322">
        <v>0</v>
      </c>
      <c r="H27" s="322">
        <v>0</v>
      </c>
      <c r="I27" s="325">
        <v>0</v>
      </c>
      <c r="J27" s="327"/>
      <c r="K27" s="329">
        <v>0</v>
      </c>
      <c r="L27" s="332">
        <v>0</v>
      </c>
      <c r="M27" s="335">
        <v>0</v>
      </c>
      <c r="N27" s="327"/>
      <c r="O27" s="339">
        <v>91</v>
      </c>
    </row>
    <row r="28" spans="1:15" x14ac:dyDescent="0.25">
      <c r="A28" s="341">
        <f t="shared" si="0"/>
        <v>44678</v>
      </c>
      <c r="B28" s="356" t="str">
        <f>TEXT(A28,"DDD")</f>
        <v>Wed</v>
      </c>
      <c r="C28" s="322">
        <v>1027.5999999999999</v>
      </c>
      <c r="D28" s="322">
        <v>0</v>
      </c>
      <c r="E28" s="322">
        <v>8</v>
      </c>
      <c r="F28" s="322">
        <v>97.78</v>
      </c>
      <c r="G28" s="322">
        <v>0</v>
      </c>
      <c r="H28" s="322">
        <v>0</v>
      </c>
      <c r="I28" s="325">
        <v>0</v>
      </c>
      <c r="J28" s="327"/>
      <c r="K28" s="329">
        <v>0</v>
      </c>
      <c r="L28" s="332">
        <v>0</v>
      </c>
      <c r="M28" s="335">
        <v>0</v>
      </c>
      <c r="N28" s="327"/>
      <c r="O28" s="339">
        <v>109</v>
      </c>
    </row>
    <row r="29" spans="1:15" x14ac:dyDescent="0.25">
      <c r="A29" s="341">
        <f t="shared" si="0"/>
        <v>44679</v>
      </c>
      <c r="B29" s="356" t="str">
        <f>TEXT(A29,"ddd")</f>
        <v>Thu</v>
      </c>
      <c r="C29" s="322">
        <v>1472</v>
      </c>
      <c r="D29" s="322">
        <v>0</v>
      </c>
      <c r="E29" s="322">
        <v>34</v>
      </c>
      <c r="F29" s="322">
        <v>171.24</v>
      </c>
      <c r="G29" s="322">
        <v>0</v>
      </c>
      <c r="H29" s="322">
        <v>52.5</v>
      </c>
      <c r="I29" s="325">
        <v>0</v>
      </c>
      <c r="J29" s="327"/>
      <c r="K29" s="329">
        <v>0</v>
      </c>
      <c r="L29" s="332">
        <v>0</v>
      </c>
      <c r="M29" s="335">
        <v>0</v>
      </c>
      <c r="N29" s="327"/>
      <c r="O29" s="339">
        <v>180</v>
      </c>
    </row>
    <row r="30" spans="1:15" x14ac:dyDescent="0.25">
      <c r="A30" s="341">
        <f t="shared" si="0"/>
        <v>44680</v>
      </c>
      <c r="B30" s="356" t="str">
        <f>TEXT(A30,"ddd")</f>
        <v>Fri</v>
      </c>
      <c r="C30" s="322">
        <v>2618.4</v>
      </c>
      <c r="D30" s="322">
        <v>0</v>
      </c>
      <c r="E30" s="322">
        <v>14</v>
      </c>
      <c r="F30" s="322">
        <v>299.79000000000002</v>
      </c>
      <c r="G30" s="322">
        <v>0</v>
      </c>
      <c r="H30" s="322">
        <v>190</v>
      </c>
      <c r="I30" s="325">
        <v>0</v>
      </c>
      <c r="J30" s="327"/>
      <c r="K30" s="329">
        <v>0</v>
      </c>
      <c r="L30" s="332">
        <v>0</v>
      </c>
      <c r="M30" s="335">
        <v>0</v>
      </c>
      <c r="N30" s="327"/>
      <c r="O30" s="339">
        <v>253</v>
      </c>
    </row>
    <row r="31" spans="1:15" x14ac:dyDescent="0.25">
      <c r="A31" s="341">
        <f t="shared" si="0"/>
        <v>44681</v>
      </c>
      <c r="B31" s="356" t="str">
        <f>TEXT(A31,"ddd")</f>
        <v>Sat</v>
      </c>
      <c r="C31" s="322">
        <v>5120.3999999999996</v>
      </c>
      <c r="D31" s="322">
        <v>0</v>
      </c>
      <c r="E31" s="322">
        <v>0</v>
      </c>
      <c r="F31" s="322">
        <v>411.92</v>
      </c>
      <c r="G31" s="322">
        <v>0</v>
      </c>
      <c r="H31" s="322">
        <v>37.5</v>
      </c>
      <c r="I31" s="325">
        <v>0</v>
      </c>
      <c r="J31" s="327"/>
      <c r="K31" s="329">
        <v>0</v>
      </c>
      <c r="L31" s="332">
        <v>0</v>
      </c>
      <c r="M31" s="335">
        <v>0</v>
      </c>
      <c r="N31" s="327"/>
      <c r="O31" s="339">
        <v>448</v>
      </c>
    </row>
    <row r="32" spans="1:15" ht="15.75" thickBot="1" x14ac:dyDescent="0.3">
      <c r="A32" s="342">
        <f t="shared" si="0"/>
        <v>44682</v>
      </c>
      <c r="B32" s="357" t="str">
        <f>TEXT(A32,"ddd")</f>
        <v>Sun</v>
      </c>
      <c r="C32" s="323"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v>0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09"/>
      <c r="D33" s="209"/>
      <c r="E33" s="209"/>
      <c r="F33" s="209"/>
      <c r="G33" s="209"/>
      <c r="H33" s="209"/>
      <c r="I33" s="209"/>
    </row>
    <row r="34" spans="1:15" ht="15.75" thickBot="1" x14ac:dyDescent="0.3">
      <c r="A34" s="343" t="s">
        <v>77</v>
      </c>
      <c r="B34" s="344"/>
      <c r="C34" s="345">
        <f t="shared" ref="C34:I34" si="1">SUM(C2:C33)</f>
        <v>53773.599999999999</v>
      </c>
      <c r="D34" s="345">
        <f t="shared" si="1"/>
        <v>0</v>
      </c>
      <c r="E34" s="345">
        <f t="shared" si="1"/>
        <v>464</v>
      </c>
      <c r="F34" s="345">
        <f t="shared" si="1"/>
        <v>4053.88</v>
      </c>
      <c r="G34" s="345">
        <f t="shared" si="1"/>
        <v>0</v>
      </c>
      <c r="H34" s="345">
        <f t="shared" si="1"/>
        <v>1478</v>
      </c>
      <c r="I34" s="346">
        <f t="shared" si="1"/>
        <v>0</v>
      </c>
      <c r="J34" s="60"/>
      <c r="K34" s="347">
        <f>Pool!AJ57</f>
        <v>0</v>
      </c>
      <c r="L34" s="348">
        <f>Pool!AJ58</f>
        <v>0</v>
      </c>
      <c r="M34" s="349">
        <f>Pool!AJ59</f>
        <v>0</v>
      </c>
      <c r="N34" s="102"/>
      <c r="O34" s="350">
        <f>SUM(O2:O33)</f>
        <v>5249</v>
      </c>
    </row>
    <row r="37" spans="1:15" x14ac:dyDescent="0.25">
      <c r="A37" s="351" t="s">
        <v>150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151</v>
      </c>
      <c r="D38" s="351">
        <v>100</v>
      </c>
      <c r="E38" s="351"/>
    </row>
    <row r="39" spans="1:15" x14ac:dyDescent="0.25">
      <c r="A39" s="351"/>
      <c r="B39" s="352" t="s">
        <v>152</v>
      </c>
      <c r="C39" s="352" t="s">
        <v>153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154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109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O32" sqref="AO32"/>
    </sheetView>
  </sheetViews>
  <sheetFormatPr defaultRowHeight="15" x14ac:dyDescent="0.25"/>
  <cols>
    <col min="1" max="1" width="10.42578125" style="59" bestFit="1" customWidth="1"/>
    <col min="2" max="2" width="24.140625" style="59" customWidth="1"/>
    <col min="3" max="5" width="9.5703125" style="59" customWidth="1"/>
    <col min="6" max="6" width="9" style="59" customWidth="1"/>
    <col min="7" max="29" width="9.5703125" style="59" customWidth="1"/>
    <col min="30" max="32" width="9.5703125" style="59" bestFit="1" customWidth="1"/>
    <col min="33" max="33" width="9.5703125" style="59" hidden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1.5703125" style="59" bestFit="1" customWidth="1"/>
    <col min="38" max="38" width="11.28515625" style="59" customWidth="1"/>
    <col min="39" max="39" width="11.85546875" style="59" bestFit="1" customWidth="1"/>
    <col min="40" max="40" width="10.5703125" style="59" bestFit="1" customWidth="1"/>
    <col min="41" max="16384" width="9.140625" style="59"/>
  </cols>
  <sheetData>
    <row r="1" spans="1:37" ht="15.75" thickBot="1" x14ac:dyDescent="0.3">
      <c r="A1" s="167" t="s">
        <v>120</v>
      </c>
      <c r="B1" s="284" t="str">
        <f>'Cash Flow'!C1</f>
        <v>April</v>
      </c>
      <c r="C1" s="227" t="str">
        <f t="array" ref="C1:AG1">TRANSPOSE('Cash Flow'!B8:B38)</f>
        <v>Fri</v>
      </c>
      <c r="D1" s="227" t="str">
        <v>Sat</v>
      </c>
      <c r="E1" s="227" t="str">
        <v>Sun</v>
      </c>
      <c r="F1" s="227" t="str">
        <v>Mon</v>
      </c>
      <c r="G1" s="227" t="str">
        <v>Tue</v>
      </c>
      <c r="H1" s="227" t="str">
        <v>Wed</v>
      </c>
      <c r="I1" s="227" t="str">
        <v>Thu</v>
      </c>
      <c r="J1" s="227" t="str">
        <v>Fri</v>
      </c>
      <c r="K1" s="227" t="str">
        <v>Sat</v>
      </c>
      <c r="L1" s="227" t="str">
        <v>Sun</v>
      </c>
      <c r="M1" s="227" t="str">
        <v>Mon</v>
      </c>
      <c r="N1" s="227" t="str">
        <v>Tue</v>
      </c>
      <c r="O1" s="227" t="str">
        <v>Wed</v>
      </c>
      <c r="P1" s="227" t="str">
        <v>Thu</v>
      </c>
      <c r="Q1" s="227" t="str">
        <v>Fri</v>
      </c>
      <c r="R1" s="227" t="str">
        <v>Sat</v>
      </c>
      <c r="S1" s="227" t="str">
        <v>Sun</v>
      </c>
      <c r="T1" s="227" t="str">
        <v>Mon</v>
      </c>
      <c r="U1" s="227" t="str">
        <v>Tue</v>
      </c>
      <c r="V1" s="227" t="str">
        <v>Wed</v>
      </c>
      <c r="W1" s="227" t="str">
        <v>Thu</v>
      </c>
      <c r="X1" s="227" t="str">
        <v>Fri</v>
      </c>
      <c r="Y1" s="227" t="str">
        <v>Sat</v>
      </c>
      <c r="Z1" s="227" t="str">
        <v>Sun</v>
      </c>
      <c r="AA1" s="227" t="str">
        <v>Mon</v>
      </c>
      <c r="AB1" s="227" t="str">
        <v>Tue</v>
      </c>
      <c r="AC1" s="227" t="str">
        <v>Wed</v>
      </c>
      <c r="AD1" s="227" t="str">
        <v>Thu</v>
      </c>
      <c r="AE1" s="227" t="str">
        <v>Fri</v>
      </c>
      <c r="AF1" s="227" t="str">
        <v>Sat</v>
      </c>
      <c r="AG1" s="227" t="str">
        <v>Sun</v>
      </c>
    </row>
    <row r="2" spans="1:37" ht="16.5" thickBot="1" x14ac:dyDescent="0.3">
      <c r="A2" s="117" t="s">
        <v>67</v>
      </c>
      <c r="B2" s="118" t="s">
        <v>133</v>
      </c>
      <c r="C2" s="106">
        <f>'Cash Flow'!A8</f>
        <v>44652</v>
      </c>
      <c r="D2" s="106">
        <f t="shared" ref="D2:AG2" si="0">C2+1</f>
        <v>44653</v>
      </c>
      <c r="E2" s="106">
        <f t="shared" si="0"/>
        <v>44654</v>
      </c>
      <c r="F2" s="106">
        <f t="shared" si="0"/>
        <v>44655</v>
      </c>
      <c r="G2" s="106">
        <f t="shared" si="0"/>
        <v>44656</v>
      </c>
      <c r="H2" s="106">
        <f t="shared" si="0"/>
        <v>44657</v>
      </c>
      <c r="I2" s="106">
        <f t="shared" si="0"/>
        <v>44658</v>
      </c>
      <c r="J2" s="106">
        <f t="shared" si="0"/>
        <v>44659</v>
      </c>
      <c r="K2" s="106">
        <f t="shared" si="0"/>
        <v>44660</v>
      </c>
      <c r="L2" s="106">
        <f t="shared" si="0"/>
        <v>44661</v>
      </c>
      <c r="M2" s="106">
        <f t="shared" si="0"/>
        <v>44662</v>
      </c>
      <c r="N2" s="106">
        <f t="shared" si="0"/>
        <v>44663</v>
      </c>
      <c r="O2" s="106">
        <f t="shared" si="0"/>
        <v>44664</v>
      </c>
      <c r="P2" s="106">
        <f t="shared" si="0"/>
        <v>44665</v>
      </c>
      <c r="Q2" s="106">
        <f t="shared" si="0"/>
        <v>44666</v>
      </c>
      <c r="R2" s="106">
        <f t="shared" si="0"/>
        <v>44667</v>
      </c>
      <c r="S2" s="106">
        <f t="shared" si="0"/>
        <v>44668</v>
      </c>
      <c r="T2" s="106">
        <f t="shared" si="0"/>
        <v>44669</v>
      </c>
      <c r="U2" s="106">
        <f t="shared" si="0"/>
        <v>44670</v>
      </c>
      <c r="V2" s="106">
        <f t="shared" si="0"/>
        <v>44671</v>
      </c>
      <c r="W2" s="106">
        <f t="shared" si="0"/>
        <v>44672</v>
      </c>
      <c r="X2" s="106">
        <f t="shared" si="0"/>
        <v>44673</v>
      </c>
      <c r="Y2" s="106">
        <f t="shared" si="0"/>
        <v>44674</v>
      </c>
      <c r="Z2" s="106">
        <f t="shared" si="0"/>
        <v>44675</v>
      </c>
      <c r="AA2" s="106">
        <f t="shared" si="0"/>
        <v>44676</v>
      </c>
      <c r="AB2" s="106">
        <f t="shared" si="0"/>
        <v>44677</v>
      </c>
      <c r="AC2" s="106">
        <f t="shared" si="0"/>
        <v>44678</v>
      </c>
      <c r="AD2" s="106">
        <f t="shared" si="0"/>
        <v>44679</v>
      </c>
      <c r="AE2" s="106">
        <f t="shared" si="0"/>
        <v>44680</v>
      </c>
      <c r="AF2" s="106">
        <f t="shared" si="0"/>
        <v>44681</v>
      </c>
      <c r="AG2" s="106">
        <f t="shared" si="0"/>
        <v>44682</v>
      </c>
      <c r="AH2" s="119" t="s">
        <v>59</v>
      </c>
      <c r="AJ2" s="63" t="s">
        <v>67</v>
      </c>
      <c r="AK2" s="64" t="s">
        <v>133</v>
      </c>
    </row>
    <row r="3" spans="1:37" ht="15.75" x14ac:dyDescent="0.25">
      <c r="A3" s="120" t="s">
        <v>61</v>
      </c>
      <c r="B3" s="121" t="s">
        <v>84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>
        <v>3.95</v>
      </c>
      <c r="AE3" s="113">
        <v>6.2</v>
      </c>
      <c r="AF3" s="113">
        <v>20.14</v>
      </c>
      <c r="AG3" s="113"/>
      <c r="AH3" s="108">
        <f t="shared" ref="AH3:AH15" si="1">SUM(C3:AG3)</f>
        <v>30.29</v>
      </c>
      <c r="AJ3" s="157" t="s">
        <v>61</v>
      </c>
      <c r="AK3" s="158" t="s">
        <v>84</v>
      </c>
    </row>
    <row r="4" spans="1:37" ht="15.75" x14ac:dyDescent="0.25">
      <c r="A4" s="122" t="s">
        <v>70</v>
      </c>
      <c r="B4" s="123" t="s">
        <v>71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>
        <v>462</v>
      </c>
      <c r="AF4" s="124">
        <v>832</v>
      </c>
      <c r="AG4" s="124"/>
      <c r="AH4" s="108">
        <f>SUM(C4:AG4)</f>
        <v>1294</v>
      </c>
      <c r="AJ4" s="159" t="s">
        <v>70</v>
      </c>
      <c r="AK4" s="160" t="s">
        <v>71</v>
      </c>
    </row>
    <row r="5" spans="1:37" ht="15.75" x14ac:dyDescent="0.25">
      <c r="A5" s="122" t="s">
        <v>81</v>
      </c>
      <c r="B5" s="123" t="s">
        <v>83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59" t="s">
        <v>81</v>
      </c>
      <c r="AK5" s="160" t="s">
        <v>83</v>
      </c>
    </row>
    <row r="6" spans="1:37" ht="15.75" x14ac:dyDescent="0.25">
      <c r="A6" s="122" t="s">
        <v>80</v>
      </c>
      <c r="B6" s="123" t="s">
        <v>218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>
        <v>20.91</v>
      </c>
      <c r="AE6" s="125">
        <f>66.45-0.8</f>
        <v>65.650000000000006</v>
      </c>
      <c r="AF6" s="125">
        <f>180.02-0.8</f>
        <v>179.22</v>
      </c>
      <c r="AG6" s="125"/>
      <c r="AH6" s="108">
        <f t="shared" si="1"/>
        <v>265.77999999999997</v>
      </c>
      <c r="AJ6" s="159" t="s">
        <v>80</v>
      </c>
      <c r="AK6" s="160" t="s">
        <v>218</v>
      </c>
    </row>
    <row r="7" spans="1:37" ht="15.75" x14ac:dyDescent="0.25">
      <c r="A7" s="122" t="s">
        <v>80</v>
      </c>
      <c r="B7" s="123" t="s">
        <v>82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>
        <v>0.8</v>
      </c>
      <c r="AF7" s="125">
        <v>0.8</v>
      </c>
      <c r="AG7" s="125"/>
      <c r="AH7" s="108">
        <f t="shared" si="1"/>
        <v>1.6</v>
      </c>
      <c r="AJ7" s="159" t="s">
        <v>80</v>
      </c>
      <c r="AK7" s="160" t="s">
        <v>82</v>
      </c>
    </row>
    <row r="8" spans="1:37" ht="16.5" thickBot="1" x14ac:dyDescent="0.3">
      <c r="A8" s="440"/>
      <c r="B8" s="439" t="s">
        <v>199</v>
      </c>
      <c r="C8" s="438">
        <f t="shared" ref="C8:AG8" si="2">SUM(C3:C7)</f>
        <v>0</v>
      </c>
      <c r="D8" s="438">
        <f t="shared" si="2"/>
        <v>0</v>
      </c>
      <c r="E8" s="438">
        <f t="shared" si="2"/>
        <v>0</v>
      </c>
      <c r="F8" s="438">
        <f t="shared" si="2"/>
        <v>0</v>
      </c>
      <c r="G8" s="438">
        <f t="shared" si="2"/>
        <v>0</v>
      </c>
      <c r="H8" s="438">
        <f t="shared" si="2"/>
        <v>0</v>
      </c>
      <c r="I8" s="438">
        <f t="shared" si="2"/>
        <v>0</v>
      </c>
      <c r="J8" s="438">
        <f t="shared" si="2"/>
        <v>0</v>
      </c>
      <c r="K8" s="438">
        <f t="shared" si="2"/>
        <v>0</v>
      </c>
      <c r="L8" s="438">
        <f t="shared" si="2"/>
        <v>0</v>
      </c>
      <c r="M8" s="438">
        <f t="shared" si="2"/>
        <v>0</v>
      </c>
      <c r="N8" s="438">
        <f t="shared" si="2"/>
        <v>0</v>
      </c>
      <c r="O8" s="438">
        <f t="shared" si="2"/>
        <v>0</v>
      </c>
      <c r="P8" s="438">
        <f t="shared" si="2"/>
        <v>0</v>
      </c>
      <c r="Q8" s="438">
        <f t="shared" si="2"/>
        <v>0</v>
      </c>
      <c r="R8" s="438">
        <f t="shared" si="2"/>
        <v>0</v>
      </c>
      <c r="S8" s="438">
        <f t="shared" si="2"/>
        <v>0</v>
      </c>
      <c r="T8" s="438">
        <f t="shared" si="2"/>
        <v>0</v>
      </c>
      <c r="U8" s="438">
        <f t="shared" si="2"/>
        <v>0</v>
      </c>
      <c r="V8" s="438">
        <f t="shared" si="2"/>
        <v>0</v>
      </c>
      <c r="W8" s="438">
        <f t="shared" si="2"/>
        <v>0</v>
      </c>
      <c r="X8" s="438">
        <f t="shared" si="2"/>
        <v>0</v>
      </c>
      <c r="Y8" s="438">
        <f t="shared" si="2"/>
        <v>0</v>
      </c>
      <c r="Z8" s="438">
        <f t="shared" si="2"/>
        <v>0</v>
      </c>
      <c r="AA8" s="438">
        <f t="shared" si="2"/>
        <v>0</v>
      </c>
      <c r="AB8" s="438">
        <f t="shared" si="2"/>
        <v>0</v>
      </c>
      <c r="AC8" s="438">
        <f t="shared" si="2"/>
        <v>0</v>
      </c>
      <c r="AD8" s="438">
        <f t="shared" si="2"/>
        <v>24.86</v>
      </c>
      <c r="AE8" s="438">
        <f t="shared" si="2"/>
        <v>534.65</v>
      </c>
      <c r="AF8" s="438">
        <f t="shared" si="2"/>
        <v>1032.1599999999999</v>
      </c>
      <c r="AG8" s="438">
        <f t="shared" si="2"/>
        <v>0</v>
      </c>
      <c r="AH8" s="437">
        <f t="shared" si="1"/>
        <v>1591.6699999999998</v>
      </c>
      <c r="AJ8" s="159"/>
      <c r="AK8" s="160"/>
    </row>
    <row r="9" spans="1:37" ht="15.75" x14ac:dyDescent="0.25">
      <c r="A9" s="436" t="s">
        <v>61</v>
      </c>
      <c r="B9" s="435" t="s">
        <v>84</v>
      </c>
      <c r="C9" s="434"/>
      <c r="D9" s="107"/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3"/>
      <c r="AC9" s="433"/>
      <c r="AD9" s="433"/>
      <c r="AE9" s="433"/>
      <c r="AF9" s="433"/>
      <c r="AG9" s="433"/>
      <c r="AH9" s="432">
        <f t="shared" si="1"/>
        <v>0</v>
      </c>
      <c r="AJ9" s="430"/>
      <c r="AK9" s="429"/>
    </row>
    <row r="10" spans="1:37" ht="15.75" x14ac:dyDescent="0.25">
      <c r="A10" s="122" t="s">
        <v>70</v>
      </c>
      <c r="B10" s="123" t="s">
        <v>71</v>
      </c>
      <c r="C10" s="431"/>
      <c r="D10" s="125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426">
        <f t="shared" si="1"/>
        <v>0</v>
      </c>
      <c r="AJ10" s="430"/>
      <c r="AK10" s="429"/>
    </row>
    <row r="11" spans="1:37" ht="15.75" x14ac:dyDescent="0.25">
      <c r="A11" s="122" t="s">
        <v>81</v>
      </c>
      <c r="B11" s="123" t="s">
        <v>83</v>
      </c>
      <c r="C11" s="431"/>
      <c r="D11" s="125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426">
        <f t="shared" si="1"/>
        <v>0</v>
      </c>
      <c r="AJ11" s="430"/>
      <c r="AK11" s="429"/>
    </row>
    <row r="12" spans="1:37" ht="15.75" x14ac:dyDescent="0.25">
      <c r="A12" s="122" t="s">
        <v>80</v>
      </c>
      <c r="B12" s="123" t="s">
        <v>218</v>
      </c>
      <c r="C12" s="431"/>
      <c r="D12" s="125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426">
        <f t="shared" si="1"/>
        <v>0</v>
      </c>
      <c r="AJ12" s="430"/>
      <c r="AK12" s="429"/>
    </row>
    <row r="13" spans="1:37" ht="15.75" x14ac:dyDescent="0.25">
      <c r="A13" s="122" t="s">
        <v>80</v>
      </c>
      <c r="B13" s="123" t="s">
        <v>82</v>
      </c>
      <c r="C13" s="431"/>
      <c r="D13" s="125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426">
        <f t="shared" si="1"/>
        <v>0</v>
      </c>
      <c r="AJ13" s="430"/>
      <c r="AK13" s="429"/>
    </row>
    <row r="14" spans="1:37" ht="16.5" thickBot="1" x14ac:dyDescent="0.3">
      <c r="A14" s="132"/>
      <c r="B14" s="428" t="s">
        <v>198</v>
      </c>
      <c r="C14" s="427">
        <f t="shared" ref="C14:AG14" si="3">SUM(C9:C13)</f>
        <v>0</v>
      </c>
      <c r="D14" s="427">
        <f t="shared" si="3"/>
        <v>0</v>
      </c>
      <c r="E14" s="427">
        <f t="shared" si="3"/>
        <v>0</v>
      </c>
      <c r="F14" s="427">
        <f t="shared" si="3"/>
        <v>0</v>
      </c>
      <c r="G14" s="427">
        <f t="shared" si="3"/>
        <v>0</v>
      </c>
      <c r="H14" s="427">
        <f t="shared" si="3"/>
        <v>0</v>
      </c>
      <c r="I14" s="427">
        <f t="shared" si="3"/>
        <v>0</v>
      </c>
      <c r="J14" s="427">
        <f t="shared" si="3"/>
        <v>0</v>
      </c>
      <c r="K14" s="427">
        <f t="shared" si="3"/>
        <v>0</v>
      </c>
      <c r="L14" s="427">
        <f t="shared" si="3"/>
        <v>0</v>
      </c>
      <c r="M14" s="427">
        <f t="shared" si="3"/>
        <v>0</v>
      </c>
      <c r="N14" s="427">
        <f t="shared" si="3"/>
        <v>0</v>
      </c>
      <c r="O14" s="427">
        <f t="shared" si="3"/>
        <v>0</v>
      </c>
      <c r="P14" s="427">
        <f t="shared" si="3"/>
        <v>0</v>
      </c>
      <c r="Q14" s="427">
        <f t="shared" si="3"/>
        <v>0</v>
      </c>
      <c r="R14" s="427">
        <f t="shared" si="3"/>
        <v>0</v>
      </c>
      <c r="S14" s="427">
        <f t="shared" si="3"/>
        <v>0</v>
      </c>
      <c r="T14" s="427">
        <f t="shared" si="3"/>
        <v>0</v>
      </c>
      <c r="U14" s="427">
        <f t="shared" si="3"/>
        <v>0</v>
      </c>
      <c r="V14" s="427">
        <f t="shared" si="3"/>
        <v>0</v>
      </c>
      <c r="W14" s="427">
        <f t="shared" si="3"/>
        <v>0</v>
      </c>
      <c r="X14" s="427">
        <f t="shared" si="3"/>
        <v>0</v>
      </c>
      <c r="Y14" s="427">
        <f t="shared" si="3"/>
        <v>0</v>
      </c>
      <c r="Z14" s="427">
        <f t="shared" si="3"/>
        <v>0</v>
      </c>
      <c r="AA14" s="427">
        <f t="shared" si="3"/>
        <v>0</v>
      </c>
      <c r="AB14" s="427">
        <f t="shared" si="3"/>
        <v>0</v>
      </c>
      <c r="AC14" s="427">
        <f t="shared" si="3"/>
        <v>0</v>
      </c>
      <c r="AD14" s="427">
        <f t="shared" si="3"/>
        <v>0</v>
      </c>
      <c r="AE14" s="427">
        <f t="shared" si="3"/>
        <v>0</v>
      </c>
      <c r="AF14" s="427">
        <f t="shared" si="3"/>
        <v>0</v>
      </c>
      <c r="AG14" s="427">
        <f t="shared" si="3"/>
        <v>0</v>
      </c>
      <c r="AH14" s="426">
        <f t="shared" si="1"/>
        <v>0</v>
      </c>
      <c r="AJ14" s="77"/>
      <c r="AK14" s="78"/>
    </row>
    <row r="15" spans="1:37" x14ac:dyDescent="0.25">
      <c r="A15" s="134"/>
      <c r="B15" s="416" t="s">
        <v>65</v>
      </c>
      <c r="C15" s="415">
        <f t="shared" ref="C15:AG15" si="4">SUM(C3:C7,C9:C13)</f>
        <v>0</v>
      </c>
      <c r="D15" s="415">
        <f t="shared" si="4"/>
        <v>0</v>
      </c>
      <c r="E15" s="415">
        <f t="shared" si="4"/>
        <v>0</v>
      </c>
      <c r="F15" s="415">
        <f t="shared" si="4"/>
        <v>0</v>
      </c>
      <c r="G15" s="415">
        <f t="shared" si="4"/>
        <v>0</v>
      </c>
      <c r="H15" s="415">
        <f t="shared" si="4"/>
        <v>0</v>
      </c>
      <c r="I15" s="415">
        <f t="shared" si="4"/>
        <v>0</v>
      </c>
      <c r="J15" s="415">
        <f t="shared" si="4"/>
        <v>0</v>
      </c>
      <c r="K15" s="415">
        <f t="shared" si="4"/>
        <v>0</v>
      </c>
      <c r="L15" s="415">
        <f t="shared" si="4"/>
        <v>0</v>
      </c>
      <c r="M15" s="415">
        <f t="shared" si="4"/>
        <v>0</v>
      </c>
      <c r="N15" s="415">
        <f t="shared" si="4"/>
        <v>0</v>
      </c>
      <c r="O15" s="415">
        <f t="shared" si="4"/>
        <v>0</v>
      </c>
      <c r="P15" s="415">
        <f t="shared" si="4"/>
        <v>0</v>
      </c>
      <c r="Q15" s="415">
        <f t="shared" si="4"/>
        <v>0</v>
      </c>
      <c r="R15" s="415">
        <f t="shared" si="4"/>
        <v>0</v>
      </c>
      <c r="S15" s="415">
        <f t="shared" si="4"/>
        <v>0</v>
      </c>
      <c r="T15" s="415">
        <f t="shared" si="4"/>
        <v>0</v>
      </c>
      <c r="U15" s="415">
        <f t="shared" si="4"/>
        <v>0</v>
      </c>
      <c r="V15" s="415">
        <f t="shared" si="4"/>
        <v>0</v>
      </c>
      <c r="W15" s="415">
        <f t="shared" si="4"/>
        <v>0</v>
      </c>
      <c r="X15" s="415">
        <f t="shared" si="4"/>
        <v>0</v>
      </c>
      <c r="Y15" s="415">
        <f t="shared" si="4"/>
        <v>0</v>
      </c>
      <c r="Z15" s="415">
        <f t="shared" si="4"/>
        <v>0</v>
      </c>
      <c r="AA15" s="415">
        <f t="shared" si="4"/>
        <v>0</v>
      </c>
      <c r="AB15" s="415">
        <f t="shared" si="4"/>
        <v>0</v>
      </c>
      <c r="AC15" s="415">
        <f t="shared" si="4"/>
        <v>0</v>
      </c>
      <c r="AD15" s="415">
        <f t="shared" si="4"/>
        <v>24.86</v>
      </c>
      <c r="AE15" s="415">
        <f t="shared" si="4"/>
        <v>534.65</v>
      </c>
      <c r="AF15" s="415">
        <f t="shared" si="4"/>
        <v>1032.1599999999999</v>
      </c>
      <c r="AG15" s="415">
        <f t="shared" si="4"/>
        <v>0</v>
      </c>
      <c r="AH15" s="109">
        <f t="shared" si="1"/>
        <v>1591.6699999999998</v>
      </c>
      <c r="AJ15" s="83"/>
      <c r="AK15" s="84" t="s">
        <v>65</v>
      </c>
    </row>
    <row r="16" spans="1:37" ht="15.75" thickBot="1" x14ac:dyDescent="0.3">
      <c r="A16" s="285"/>
      <c r="B16" s="286"/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8"/>
      <c r="AJ16" s="188"/>
      <c r="AK16" s="188"/>
    </row>
    <row r="17" spans="1:41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5"/>
      <c r="AJ17" s="477" t="s">
        <v>132</v>
      </c>
      <c r="AK17" s="478"/>
      <c r="AL17" s="478"/>
      <c r="AM17" s="479"/>
    </row>
    <row r="18" spans="1:41" ht="16.5" thickBot="1" x14ac:dyDescent="0.3">
      <c r="A18" s="368" t="str">
        <f>'[1]TEMP Summary'!A12</f>
        <v>01-00-1000</v>
      </c>
      <c r="B18" s="371" t="s">
        <v>197</v>
      </c>
      <c r="C18" s="441"/>
      <c r="D18" s="442"/>
      <c r="E18" s="442"/>
      <c r="F18" s="442"/>
      <c r="G18" s="442"/>
      <c r="H18" s="442"/>
      <c r="I18" s="442"/>
      <c r="J18" s="442"/>
      <c r="K18" s="442"/>
      <c r="L18" s="442"/>
      <c r="M18" s="442"/>
      <c r="N18" s="442"/>
      <c r="O18" s="442"/>
      <c r="P18" s="442"/>
      <c r="Q18" s="442"/>
      <c r="R18" s="442"/>
      <c r="S18" s="442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>
        <v>415.02</v>
      </c>
      <c r="AF18" s="107">
        <v>285.70999999999998</v>
      </c>
      <c r="AG18" s="424"/>
      <c r="AH18" s="423">
        <f t="shared" ref="AH18:AH23" si="5">SUM(C18:AG18)</f>
        <v>700.73</v>
      </c>
      <c r="AJ18" s="281" t="s">
        <v>67</v>
      </c>
      <c r="AK18" s="282" t="s">
        <v>133</v>
      </c>
      <c r="AL18" s="282" t="s">
        <v>125</v>
      </c>
      <c r="AM18" s="283" t="s">
        <v>126</v>
      </c>
    </row>
    <row r="19" spans="1:41" ht="16.5" thickBot="1" x14ac:dyDescent="0.3">
      <c r="A19" s="369" t="str">
        <f>'[1]TEMP Summary'!A13</f>
        <v>01-00-1000</v>
      </c>
      <c r="B19" s="372" t="s">
        <v>196</v>
      </c>
      <c r="C19" s="443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22"/>
      <c r="AH19" s="421">
        <f t="shared" si="5"/>
        <v>0</v>
      </c>
      <c r="AJ19" s="358"/>
      <c r="AK19" s="359"/>
      <c r="AL19" s="359"/>
      <c r="AM19" s="360"/>
    </row>
    <row r="20" spans="1:41" ht="15.75" x14ac:dyDescent="0.25">
      <c r="A20" s="369" t="str">
        <f>'[1]TEMP Summary'!A14</f>
        <v>01-00-1000</v>
      </c>
      <c r="B20" s="372" t="s">
        <v>195</v>
      </c>
      <c r="C20" s="443"/>
      <c r="D20" s="444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>
        <v>24.86</v>
      </c>
      <c r="AE20" s="125">
        <v>145</v>
      </c>
      <c r="AF20" s="125">
        <v>746.41</v>
      </c>
      <c r="AG20" s="422"/>
      <c r="AH20" s="421">
        <f t="shared" si="5"/>
        <v>916.27</v>
      </c>
      <c r="AJ20" s="126" t="s">
        <v>60</v>
      </c>
      <c r="AK20" s="127" t="s">
        <v>54</v>
      </c>
      <c r="AL20" s="289"/>
      <c r="AM20" s="453">
        <f>SUM(AE18:AF18)</f>
        <v>700.73</v>
      </c>
    </row>
    <row r="21" spans="1:41" ht="15.75" x14ac:dyDescent="0.25">
      <c r="A21" s="369" t="str">
        <f>'[1]TEMP Summary'!A15</f>
        <v>01-00-1000</v>
      </c>
      <c r="B21" s="372" t="s">
        <v>194</v>
      </c>
      <c r="C21" s="443"/>
      <c r="D21" s="444"/>
      <c r="E21" s="444"/>
      <c r="F21" s="444"/>
      <c r="G21" s="444"/>
      <c r="H21" s="444"/>
      <c r="I21" s="444"/>
      <c r="J21" s="444"/>
      <c r="K21" s="444"/>
      <c r="L21" s="444"/>
      <c r="M21" s="444"/>
      <c r="N21" s="444"/>
      <c r="O21" s="444"/>
      <c r="P21" s="444"/>
      <c r="Q21" s="444"/>
      <c r="R21" s="444"/>
      <c r="S21" s="444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22"/>
      <c r="AH21" s="421">
        <f t="shared" si="5"/>
        <v>0</v>
      </c>
      <c r="AJ21" s="129" t="s">
        <v>60</v>
      </c>
      <c r="AK21" s="130" t="s">
        <v>214</v>
      </c>
      <c r="AL21" s="290"/>
      <c r="AM21" s="291">
        <f>AH20-AH28</f>
        <v>888.49</v>
      </c>
    </row>
    <row r="22" spans="1:41" ht="16.5" thickBot="1" x14ac:dyDescent="0.3">
      <c r="A22" s="370" t="s">
        <v>85</v>
      </c>
      <c r="B22" s="365" t="s">
        <v>33</v>
      </c>
      <c r="C22" s="366"/>
      <c r="D22" s="367"/>
      <c r="E22" s="367"/>
      <c r="F22" s="367"/>
      <c r="G22" s="367"/>
      <c r="H22" s="367"/>
      <c r="I22" s="367"/>
      <c r="J22" s="367"/>
      <c r="K22" s="367"/>
      <c r="L22" s="367"/>
      <c r="M22" s="367"/>
      <c r="N22" s="367"/>
      <c r="O22" s="367"/>
      <c r="P22" s="367"/>
      <c r="Q22" s="367"/>
      <c r="R22" s="367"/>
      <c r="S22" s="367"/>
      <c r="T22" s="367"/>
      <c r="U22" s="367"/>
      <c r="V22" s="367"/>
      <c r="W22" s="367"/>
      <c r="X22" s="367"/>
      <c r="Y22" s="367"/>
      <c r="Z22" s="367"/>
      <c r="AA22" s="367"/>
      <c r="AB22" s="367"/>
      <c r="AC22" s="367"/>
      <c r="AD22" s="367"/>
      <c r="AE22" s="367"/>
      <c r="AF22" s="367"/>
      <c r="AG22" s="420"/>
      <c r="AH22" s="419">
        <f t="shared" si="5"/>
        <v>0</v>
      </c>
      <c r="AJ22" s="361"/>
      <c r="AK22" s="362"/>
      <c r="AL22" s="363"/>
      <c r="AM22" s="364"/>
    </row>
    <row r="23" spans="1:41" ht="16.5" thickBot="1" x14ac:dyDescent="0.3">
      <c r="A23" s="137"/>
      <c r="B23" s="138" t="s">
        <v>66</v>
      </c>
      <c r="C23" s="113">
        <f t="shared" ref="C23:AG23" si="6">SUM(C18:C21)</f>
        <v>0</v>
      </c>
      <c r="D23" s="113">
        <f t="shared" si="6"/>
        <v>0</v>
      </c>
      <c r="E23" s="113">
        <f t="shared" si="6"/>
        <v>0</v>
      </c>
      <c r="F23" s="113">
        <f t="shared" si="6"/>
        <v>0</v>
      </c>
      <c r="G23" s="113">
        <f t="shared" si="6"/>
        <v>0</v>
      </c>
      <c r="H23" s="113">
        <f t="shared" si="6"/>
        <v>0</v>
      </c>
      <c r="I23" s="113">
        <f t="shared" si="6"/>
        <v>0</v>
      </c>
      <c r="J23" s="113">
        <f t="shared" si="6"/>
        <v>0</v>
      </c>
      <c r="K23" s="113">
        <f t="shared" si="6"/>
        <v>0</v>
      </c>
      <c r="L23" s="113">
        <f t="shared" si="6"/>
        <v>0</v>
      </c>
      <c r="M23" s="113">
        <f t="shared" si="6"/>
        <v>0</v>
      </c>
      <c r="N23" s="113">
        <f t="shared" si="6"/>
        <v>0</v>
      </c>
      <c r="O23" s="113">
        <f t="shared" si="6"/>
        <v>0</v>
      </c>
      <c r="P23" s="113">
        <f t="shared" si="6"/>
        <v>0</v>
      </c>
      <c r="Q23" s="113">
        <f t="shared" si="6"/>
        <v>0</v>
      </c>
      <c r="R23" s="113">
        <f t="shared" si="6"/>
        <v>0</v>
      </c>
      <c r="S23" s="113">
        <f t="shared" si="6"/>
        <v>0</v>
      </c>
      <c r="T23" s="113">
        <f t="shared" si="6"/>
        <v>0</v>
      </c>
      <c r="U23" s="113">
        <f t="shared" si="6"/>
        <v>0</v>
      </c>
      <c r="V23" s="113">
        <f t="shared" si="6"/>
        <v>0</v>
      </c>
      <c r="W23" s="113">
        <f t="shared" si="6"/>
        <v>0</v>
      </c>
      <c r="X23" s="113">
        <f t="shared" si="6"/>
        <v>0</v>
      </c>
      <c r="Y23" s="113">
        <f t="shared" si="6"/>
        <v>0</v>
      </c>
      <c r="Z23" s="113">
        <f t="shared" si="6"/>
        <v>0</v>
      </c>
      <c r="AA23" s="113">
        <f t="shared" si="6"/>
        <v>0</v>
      </c>
      <c r="AB23" s="113">
        <f t="shared" si="6"/>
        <v>0</v>
      </c>
      <c r="AC23" s="113">
        <f t="shared" si="6"/>
        <v>0</v>
      </c>
      <c r="AD23" s="113">
        <f t="shared" si="6"/>
        <v>24.86</v>
      </c>
      <c r="AE23" s="113">
        <f t="shared" si="6"/>
        <v>560.02</v>
      </c>
      <c r="AF23" s="113">
        <f t="shared" si="6"/>
        <v>1032.1199999999999</v>
      </c>
      <c r="AG23" s="113">
        <f t="shared" si="6"/>
        <v>0</v>
      </c>
      <c r="AH23" s="418">
        <f t="shared" si="5"/>
        <v>1617</v>
      </c>
      <c r="AJ23" s="135" t="s">
        <v>85</v>
      </c>
      <c r="AK23" s="136" t="s">
        <v>33</v>
      </c>
      <c r="AL23" s="292"/>
      <c r="AM23" s="293">
        <f>-AH25</f>
        <v>25.330000000000041</v>
      </c>
      <c r="AN23" s="116" t="s">
        <v>134</v>
      </c>
    </row>
    <row r="24" spans="1:41" ht="16.5" thickBot="1" x14ac:dyDescent="0.3">
      <c r="A24" s="95"/>
      <c r="B24" s="96"/>
      <c r="C24" s="97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8"/>
      <c r="AJ24" s="466" t="s">
        <v>77</v>
      </c>
      <c r="AK24" s="480"/>
      <c r="AL24" s="481">
        <f>SUM(AL20:AM23)</f>
        <v>1614.5500000000002</v>
      </c>
      <c r="AM24" s="482"/>
      <c r="AN24" s="294">
        <f>AL24-AH24</f>
        <v>1614.5500000000002</v>
      </c>
    </row>
    <row r="25" spans="1:41" ht="15.75" x14ac:dyDescent="0.25">
      <c r="A25" s="417"/>
      <c r="B25" s="416" t="s">
        <v>193</v>
      </c>
      <c r="C25" s="415">
        <f t="shared" ref="C25:AG25" si="7">SUM(C3:C7)-(C18+C20)</f>
        <v>0</v>
      </c>
      <c r="D25" s="415">
        <f t="shared" si="7"/>
        <v>0</v>
      </c>
      <c r="E25" s="415">
        <f t="shared" si="7"/>
        <v>0</v>
      </c>
      <c r="F25" s="415">
        <f t="shared" si="7"/>
        <v>0</v>
      </c>
      <c r="G25" s="415">
        <f t="shared" si="7"/>
        <v>0</v>
      </c>
      <c r="H25" s="415">
        <f t="shared" si="7"/>
        <v>0</v>
      </c>
      <c r="I25" s="415">
        <f t="shared" si="7"/>
        <v>0</v>
      </c>
      <c r="J25" s="415">
        <f t="shared" si="7"/>
        <v>0</v>
      </c>
      <c r="K25" s="415">
        <f t="shared" si="7"/>
        <v>0</v>
      </c>
      <c r="L25" s="415">
        <f t="shared" si="7"/>
        <v>0</v>
      </c>
      <c r="M25" s="415">
        <f t="shared" si="7"/>
        <v>0</v>
      </c>
      <c r="N25" s="415">
        <f t="shared" si="7"/>
        <v>0</v>
      </c>
      <c r="O25" s="415">
        <f t="shared" si="7"/>
        <v>0</v>
      </c>
      <c r="P25" s="415">
        <f t="shared" si="7"/>
        <v>0</v>
      </c>
      <c r="Q25" s="415">
        <f t="shared" si="7"/>
        <v>0</v>
      </c>
      <c r="R25" s="415">
        <f t="shared" si="7"/>
        <v>0</v>
      </c>
      <c r="S25" s="415">
        <f t="shared" si="7"/>
        <v>0</v>
      </c>
      <c r="T25" s="415">
        <f t="shared" si="7"/>
        <v>0</v>
      </c>
      <c r="U25" s="415">
        <f t="shared" si="7"/>
        <v>0</v>
      </c>
      <c r="V25" s="415">
        <f t="shared" si="7"/>
        <v>0</v>
      </c>
      <c r="W25" s="415">
        <f t="shared" si="7"/>
        <v>0</v>
      </c>
      <c r="X25" s="415">
        <f t="shared" si="7"/>
        <v>0</v>
      </c>
      <c r="Y25" s="415">
        <f t="shared" si="7"/>
        <v>0</v>
      </c>
      <c r="Z25" s="415">
        <f t="shared" si="7"/>
        <v>0</v>
      </c>
      <c r="AA25" s="415">
        <f t="shared" si="7"/>
        <v>0</v>
      </c>
      <c r="AB25" s="415">
        <f t="shared" si="7"/>
        <v>0</v>
      </c>
      <c r="AC25" s="415">
        <f t="shared" si="7"/>
        <v>0</v>
      </c>
      <c r="AD25" s="415">
        <f t="shared" si="7"/>
        <v>0</v>
      </c>
      <c r="AE25" s="415">
        <f t="shared" si="7"/>
        <v>-25.370000000000005</v>
      </c>
      <c r="AF25" s="415">
        <f t="shared" si="7"/>
        <v>3.999999999996362E-2</v>
      </c>
      <c r="AG25" s="415">
        <f t="shared" si="7"/>
        <v>0</v>
      </c>
      <c r="AH25" s="110">
        <f>SUM(C25:AG25)</f>
        <v>-25.330000000000041</v>
      </c>
    </row>
    <row r="26" spans="1:41" ht="16.5" thickBot="1" x14ac:dyDescent="0.3">
      <c r="A26" s="414"/>
      <c r="B26" s="180" t="s">
        <v>192</v>
      </c>
      <c r="C26" s="413">
        <f t="shared" ref="C26:AG26" si="8">SUM(C9:C13)-(C19+C21)</f>
        <v>0</v>
      </c>
      <c r="D26" s="413">
        <f t="shared" si="8"/>
        <v>0</v>
      </c>
      <c r="E26" s="413">
        <f t="shared" si="8"/>
        <v>0</v>
      </c>
      <c r="F26" s="413">
        <f t="shared" si="8"/>
        <v>0</v>
      </c>
      <c r="G26" s="413">
        <f t="shared" si="8"/>
        <v>0</v>
      </c>
      <c r="H26" s="413">
        <f t="shared" si="8"/>
        <v>0</v>
      </c>
      <c r="I26" s="413">
        <f t="shared" si="8"/>
        <v>0</v>
      </c>
      <c r="J26" s="413">
        <f t="shared" si="8"/>
        <v>0</v>
      </c>
      <c r="K26" s="413">
        <f t="shared" si="8"/>
        <v>0</v>
      </c>
      <c r="L26" s="413">
        <f t="shared" si="8"/>
        <v>0</v>
      </c>
      <c r="M26" s="413">
        <f t="shared" si="8"/>
        <v>0</v>
      </c>
      <c r="N26" s="413">
        <f t="shared" si="8"/>
        <v>0</v>
      </c>
      <c r="O26" s="413">
        <f t="shared" si="8"/>
        <v>0</v>
      </c>
      <c r="P26" s="413">
        <f t="shared" si="8"/>
        <v>0</v>
      </c>
      <c r="Q26" s="413">
        <f t="shared" si="8"/>
        <v>0</v>
      </c>
      <c r="R26" s="413">
        <f t="shared" si="8"/>
        <v>0</v>
      </c>
      <c r="S26" s="413">
        <f t="shared" si="8"/>
        <v>0</v>
      </c>
      <c r="T26" s="413">
        <f t="shared" si="8"/>
        <v>0</v>
      </c>
      <c r="U26" s="413">
        <f t="shared" si="8"/>
        <v>0</v>
      </c>
      <c r="V26" s="413">
        <f t="shared" si="8"/>
        <v>0</v>
      </c>
      <c r="W26" s="413">
        <f t="shared" si="8"/>
        <v>0</v>
      </c>
      <c r="X26" s="413">
        <f t="shared" si="8"/>
        <v>0</v>
      </c>
      <c r="Y26" s="413">
        <f t="shared" si="8"/>
        <v>0</v>
      </c>
      <c r="Z26" s="413">
        <f t="shared" si="8"/>
        <v>0</v>
      </c>
      <c r="AA26" s="413">
        <f t="shared" si="8"/>
        <v>0</v>
      </c>
      <c r="AB26" s="413">
        <f t="shared" si="8"/>
        <v>0</v>
      </c>
      <c r="AC26" s="413">
        <f t="shared" si="8"/>
        <v>0</v>
      </c>
      <c r="AD26" s="413">
        <f t="shared" si="8"/>
        <v>0</v>
      </c>
      <c r="AE26" s="413">
        <f t="shared" si="8"/>
        <v>0</v>
      </c>
      <c r="AF26" s="413">
        <f t="shared" si="8"/>
        <v>0</v>
      </c>
      <c r="AG26" s="413">
        <f t="shared" si="8"/>
        <v>0</v>
      </c>
      <c r="AH26" s="112">
        <f>SUM(C26:AG26)</f>
        <v>0</v>
      </c>
    </row>
    <row r="27" spans="1:41" ht="16.5" thickBot="1" x14ac:dyDescent="0.3"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1"/>
    </row>
    <row r="28" spans="1:41" ht="16.5" thickBot="1" x14ac:dyDescent="0.3">
      <c r="A28" s="450"/>
      <c r="B28" s="451" t="s">
        <v>207</v>
      </c>
      <c r="C28" s="451"/>
      <c r="D28" s="451"/>
      <c r="E28" s="451"/>
      <c r="F28" s="451"/>
      <c r="G28" s="451"/>
      <c r="H28" s="451"/>
      <c r="I28" s="451"/>
      <c r="J28" s="451"/>
      <c r="K28" s="451"/>
      <c r="L28" s="451"/>
      <c r="M28" s="451"/>
      <c r="N28" s="451"/>
      <c r="O28" s="451"/>
      <c r="P28" s="451"/>
      <c r="Q28" s="451"/>
      <c r="R28" s="451"/>
      <c r="S28" s="451"/>
      <c r="T28" s="451"/>
      <c r="U28" s="451"/>
      <c r="V28" s="451"/>
      <c r="W28" s="451"/>
      <c r="X28" s="451"/>
      <c r="Y28" s="451"/>
      <c r="Z28" s="451"/>
      <c r="AA28" s="451"/>
      <c r="AB28" s="451"/>
      <c r="AC28" s="451"/>
      <c r="AD28" s="451">
        <v>0.74</v>
      </c>
      <c r="AE28" s="451">
        <v>4.3499999999999996</v>
      </c>
      <c r="AF28" s="451">
        <v>22.69</v>
      </c>
      <c r="AG28" s="451"/>
      <c r="AH28" s="452">
        <f>SUM(C28:AG28)</f>
        <v>27.78</v>
      </c>
      <c r="AJ28" s="210" t="s">
        <v>216</v>
      </c>
      <c r="AK28" s="211" t="s">
        <v>209</v>
      </c>
      <c r="AL28" s="270">
        <f>SUM(C28:AB28)</f>
        <v>0</v>
      </c>
      <c r="AM28" s="271">
        <f>SUM(AC28:AG28)</f>
        <v>27.78</v>
      </c>
    </row>
    <row r="29" spans="1:41" ht="16.5" thickBot="1" x14ac:dyDescent="0.3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1"/>
      <c r="AO29" s="59" t="s">
        <v>215</v>
      </c>
    </row>
    <row r="30" spans="1:41" ht="16.5" thickBot="1" x14ac:dyDescent="0.3">
      <c r="A30" s="161"/>
      <c r="B30" s="162" t="s">
        <v>57</v>
      </c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4"/>
      <c r="AJ30" s="475" t="s">
        <v>57</v>
      </c>
      <c r="AK30" s="476"/>
    </row>
    <row r="31" spans="1:41" x14ac:dyDescent="0.25">
      <c r="A31" s="165"/>
      <c r="B31" s="140" t="s">
        <v>76</v>
      </c>
      <c r="C31" s="141">
        <f>'[1]TEMP Summary'!$T$22</f>
        <v>0</v>
      </c>
      <c r="D31" s="141">
        <f>'[1]TEMP Summary'!$T$22</f>
        <v>0</v>
      </c>
      <c r="E31" s="141">
        <f>'[1]TEMP Summary'!$T$22</f>
        <v>0</v>
      </c>
      <c r="F31" s="141">
        <f>'[1]TEMP Summary'!$T$22</f>
        <v>0</v>
      </c>
      <c r="G31" s="141">
        <f>'[1]TEMP Summary'!$T$22</f>
        <v>0</v>
      </c>
      <c r="H31" s="141">
        <f>'[1]TEMP Summary'!$T$22</f>
        <v>0</v>
      </c>
      <c r="I31" s="141">
        <f>'[1]TEMP Summary'!$T$22</f>
        <v>0</v>
      </c>
      <c r="J31" s="141">
        <f>'[1]TEMP Summary'!$T$22</f>
        <v>0</v>
      </c>
      <c r="K31" s="141">
        <f>'[1]TEMP Summary'!$T$22</f>
        <v>0</v>
      </c>
      <c r="L31" s="141">
        <f>'[1]TEMP Summary'!$T$22</f>
        <v>0</v>
      </c>
      <c r="M31" s="141">
        <f>'[1]TEMP Summary'!$T$22</f>
        <v>0</v>
      </c>
      <c r="N31" s="141">
        <f>'[1]TEMP Summary'!$T$22</f>
        <v>0</v>
      </c>
      <c r="O31" s="141">
        <f>'[1]TEMP Summary'!$T$22</f>
        <v>0</v>
      </c>
      <c r="P31" s="141">
        <f>'[1]TEMP Summary'!$T$22</f>
        <v>0</v>
      </c>
      <c r="Q31" s="141">
        <f>'[1]TEMP Summary'!$T$22</f>
        <v>0</v>
      </c>
      <c r="R31" s="141">
        <f>'[1]TEMP Summary'!$T$22</f>
        <v>0</v>
      </c>
      <c r="S31" s="141">
        <f>'[1]TEMP Summary'!$T$22</f>
        <v>0</v>
      </c>
      <c r="T31" s="141">
        <f>'[1]TEMP Summary'!$T$22</f>
        <v>0</v>
      </c>
      <c r="U31" s="141">
        <f>'[1]TEMP Summary'!$T$22</f>
        <v>0</v>
      </c>
      <c r="V31" s="141">
        <f>'[1]TEMP Summary'!$T$22</f>
        <v>0</v>
      </c>
      <c r="W31" s="141">
        <f>'[1]TEMP Summary'!$T$22</f>
        <v>0</v>
      </c>
      <c r="X31" s="141">
        <f>'[1]TEMP Summary'!$T$22</f>
        <v>0</v>
      </c>
      <c r="Y31" s="141">
        <f>'[1]TEMP Summary'!$T$22</f>
        <v>0</v>
      </c>
      <c r="Z31" s="141">
        <f>'[1]TEMP Summary'!$T$22</f>
        <v>0</v>
      </c>
      <c r="AA31" s="141">
        <f>'[1]TEMP Summary'!$T$22</f>
        <v>0</v>
      </c>
      <c r="AB31" s="141">
        <f>'[1]TEMP Summary'!$T$22</f>
        <v>0</v>
      </c>
      <c r="AC31" s="141">
        <f>'[1]TEMP Summary'!$T$22</f>
        <v>0</v>
      </c>
      <c r="AD31" s="141">
        <f>'[1]TEMP Summary'!$T$22</f>
        <v>0</v>
      </c>
      <c r="AE31" s="141">
        <v>76</v>
      </c>
      <c r="AF31" s="141">
        <v>134</v>
      </c>
      <c r="AG31" s="141">
        <f>'[1]TEMP Summary'!$T$22</f>
        <v>0</v>
      </c>
      <c r="AH31" s="412">
        <f>SUM(C31:AG31)</f>
        <v>210</v>
      </c>
      <c r="AJ31" s="256">
        <f t="shared" ref="AJ31:AJ36" si="9">AH31+AH38</f>
        <v>210</v>
      </c>
      <c r="AK31" s="257" t="s">
        <v>76</v>
      </c>
    </row>
    <row r="32" spans="1:41" x14ac:dyDescent="0.25">
      <c r="A32" s="165"/>
      <c r="B32" s="140" t="s">
        <v>75</v>
      </c>
      <c r="C32" s="141">
        <f>'[1]TEMP Summary'!$T$22</f>
        <v>0</v>
      </c>
      <c r="D32" s="141">
        <f>'[1]TEMP Summary'!$T$22</f>
        <v>0</v>
      </c>
      <c r="E32" s="141">
        <f>'[1]TEMP Summary'!$T$22</f>
        <v>0</v>
      </c>
      <c r="F32" s="141">
        <f>'[1]TEMP Summary'!$T$22</f>
        <v>0</v>
      </c>
      <c r="G32" s="141">
        <f>'[1]TEMP Summary'!$T$22</f>
        <v>0</v>
      </c>
      <c r="H32" s="141">
        <f>'[1]TEMP Summary'!$T$22</f>
        <v>0</v>
      </c>
      <c r="I32" s="141">
        <f>'[1]TEMP Summary'!$T$22</f>
        <v>0</v>
      </c>
      <c r="J32" s="141">
        <f>'[1]TEMP Summary'!$T$22</f>
        <v>0</v>
      </c>
      <c r="K32" s="141">
        <f>'[1]TEMP Summary'!$T$22</f>
        <v>0</v>
      </c>
      <c r="L32" s="141">
        <f>'[1]TEMP Summary'!$T$22</f>
        <v>0</v>
      </c>
      <c r="M32" s="141">
        <f>'[1]TEMP Summary'!$T$22</f>
        <v>0</v>
      </c>
      <c r="N32" s="141">
        <f>'[1]TEMP Summary'!$T$22</f>
        <v>0</v>
      </c>
      <c r="O32" s="141">
        <f>'[1]TEMP Summary'!$T$22</f>
        <v>0</v>
      </c>
      <c r="P32" s="141">
        <f>'[1]TEMP Summary'!$T$22</f>
        <v>0</v>
      </c>
      <c r="Q32" s="141">
        <f>'[1]TEMP Summary'!$T$22</f>
        <v>0</v>
      </c>
      <c r="R32" s="141">
        <f>'[1]TEMP Summary'!$T$22</f>
        <v>0</v>
      </c>
      <c r="S32" s="141">
        <f>'[1]TEMP Summary'!$T$22</f>
        <v>0</v>
      </c>
      <c r="T32" s="141">
        <f>'[1]TEMP Summary'!$T$22</f>
        <v>0</v>
      </c>
      <c r="U32" s="141">
        <f>'[1]TEMP Summary'!$T$22</f>
        <v>0</v>
      </c>
      <c r="V32" s="141">
        <f>'[1]TEMP Summary'!$T$22</f>
        <v>0</v>
      </c>
      <c r="W32" s="141">
        <f>'[1]TEMP Summary'!$T$22</f>
        <v>0</v>
      </c>
      <c r="X32" s="141">
        <f>'[1]TEMP Summary'!$T$22</f>
        <v>0</v>
      </c>
      <c r="Y32" s="141">
        <f>'[1]TEMP Summary'!$T$22</f>
        <v>0</v>
      </c>
      <c r="Z32" s="141">
        <f>'[1]TEMP Summary'!$T$22</f>
        <v>0</v>
      </c>
      <c r="AA32" s="141">
        <f>'[1]TEMP Summary'!$T$22</f>
        <v>0</v>
      </c>
      <c r="AB32" s="141">
        <f>'[1]TEMP Summary'!$T$22</f>
        <v>0</v>
      </c>
      <c r="AC32" s="141">
        <f>'[1]TEMP Summary'!$T$22</f>
        <v>0</v>
      </c>
      <c r="AD32" s="141">
        <f>'[1]TEMP Summary'!$T$22</f>
        <v>0</v>
      </c>
      <c r="AE32" s="141">
        <v>10</v>
      </c>
      <c r="AF32" s="141">
        <v>25</v>
      </c>
      <c r="AG32" s="141">
        <f>'[1]TEMP Summary'!$T$22</f>
        <v>0</v>
      </c>
      <c r="AH32" s="412">
        <f>SUM(C32:AG32)</f>
        <v>35</v>
      </c>
      <c r="AJ32" s="256">
        <f t="shared" si="9"/>
        <v>35</v>
      </c>
      <c r="AK32" s="257" t="s">
        <v>75</v>
      </c>
    </row>
    <row r="33" spans="1:37" x14ac:dyDescent="0.25">
      <c r="A33" s="165"/>
      <c r="B33" s="140" t="s">
        <v>217</v>
      </c>
      <c r="C33" s="141">
        <f>'[1]TEMP Summary'!$T$22</f>
        <v>0</v>
      </c>
      <c r="D33" s="141">
        <f>'[1]TEMP Summary'!$T$22</f>
        <v>0</v>
      </c>
      <c r="E33" s="141">
        <f>'[1]TEMP Summary'!$T$22</f>
        <v>0</v>
      </c>
      <c r="F33" s="141">
        <f>'[1]TEMP Summary'!$T$22</f>
        <v>0</v>
      </c>
      <c r="G33" s="141">
        <f>'[1]TEMP Summary'!$T$22</f>
        <v>0</v>
      </c>
      <c r="H33" s="141">
        <f>'[1]TEMP Summary'!$T$22</f>
        <v>0</v>
      </c>
      <c r="I33" s="141">
        <f>'[1]TEMP Summary'!$T$22</f>
        <v>0</v>
      </c>
      <c r="J33" s="141">
        <f>'[1]TEMP Summary'!$T$22</f>
        <v>0</v>
      </c>
      <c r="K33" s="141">
        <f>'[1]TEMP Summary'!$T$22</f>
        <v>0</v>
      </c>
      <c r="L33" s="141">
        <f>'[1]TEMP Summary'!$T$22</f>
        <v>0</v>
      </c>
      <c r="M33" s="141">
        <f>'[1]TEMP Summary'!$T$22</f>
        <v>0</v>
      </c>
      <c r="N33" s="141">
        <f>'[1]TEMP Summary'!$T$22</f>
        <v>0</v>
      </c>
      <c r="O33" s="141">
        <f>'[1]TEMP Summary'!$T$22</f>
        <v>0</v>
      </c>
      <c r="P33" s="141">
        <f>'[1]TEMP Summary'!$T$22</f>
        <v>0</v>
      </c>
      <c r="Q33" s="141">
        <f>'[1]TEMP Summary'!$T$22</f>
        <v>0</v>
      </c>
      <c r="R33" s="141">
        <f>'[1]TEMP Summary'!$T$22</f>
        <v>0</v>
      </c>
      <c r="S33" s="141">
        <f>'[1]TEMP Summary'!$T$22</f>
        <v>0</v>
      </c>
      <c r="T33" s="141">
        <f>'[1]TEMP Summary'!$T$22</f>
        <v>0</v>
      </c>
      <c r="U33" s="141">
        <f>'[1]TEMP Summary'!$T$22</f>
        <v>0</v>
      </c>
      <c r="V33" s="141">
        <f>'[1]TEMP Summary'!$T$22</f>
        <v>0</v>
      </c>
      <c r="W33" s="141">
        <f>'[1]TEMP Summary'!$T$22</f>
        <v>0</v>
      </c>
      <c r="X33" s="141">
        <f>'[1]TEMP Summary'!$T$22</f>
        <v>0</v>
      </c>
      <c r="Y33" s="141">
        <f>'[1]TEMP Summary'!$T$22</f>
        <v>0</v>
      </c>
      <c r="Z33" s="141">
        <f>'[1]TEMP Summary'!$T$22</f>
        <v>0</v>
      </c>
      <c r="AA33" s="141">
        <f>'[1]TEMP Summary'!$T$22</f>
        <v>0</v>
      </c>
      <c r="AB33" s="141">
        <f>'[1]TEMP Summary'!$T$22</f>
        <v>0</v>
      </c>
      <c r="AC33" s="141">
        <f>'[1]TEMP Summary'!$T$22</f>
        <v>0</v>
      </c>
      <c r="AD33" s="141">
        <f>'[1]TEMP Summary'!$T$22</f>
        <v>0</v>
      </c>
      <c r="AE33" s="141">
        <v>0</v>
      </c>
      <c r="AF33" s="141">
        <v>3</v>
      </c>
      <c r="AG33" s="141"/>
      <c r="AH33" s="412">
        <f>SUM(C33:AG33)</f>
        <v>3</v>
      </c>
      <c r="AJ33" s="256">
        <f t="shared" si="9"/>
        <v>3</v>
      </c>
      <c r="AK33" s="257" t="s">
        <v>217</v>
      </c>
    </row>
    <row r="34" spans="1:37" x14ac:dyDescent="0.25">
      <c r="A34" s="165"/>
      <c r="B34" s="140" t="s">
        <v>73</v>
      </c>
      <c r="C34" s="141">
        <f>'[1]TEMP Summary'!$T$22</f>
        <v>0</v>
      </c>
      <c r="D34" s="141">
        <f>'[1]TEMP Summary'!$T$22</f>
        <v>0</v>
      </c>
      <c r="E34" s="141">
        <f>'[1]TEMP Summary'!$T$22</f>
        <v>0</v>
      </c>
      <c r="F34" s="141">
        <f>'[1]TEMP Summary'!$T$22</f>
        <v>0</v>
      </c>
      <c r="G34" s="141">
        <f>'[1]TEMP Summary'!$T$22</f>
        <v>0</v>
      </c>
      <c r="H34" s="141">
        <f>'[1]TEMP Summary'!$T$22</f>
        <v>0</v>
      </c>
      <c r="I34" s="141">
        <f>'[1]TEMP Summary'!$T$22</f>
        <v>0</v>
      </c>
      <c r="J34" s="141">
        <f>'[1]TEMP Summary'!$T$22</f>
        <v>0</v>
      </c>
      <c r="K34" s="141">
        <f>'[1]TEMP Summary'!$T$22</f>
        <v>0</v>
      </c>
      <c r="L34" s="141">
        <f>'[1]TEMP Summary'!$T$22</f>
        <v>0</v>
      </c>
      <c r="M34" s="141">
        <f>'[1]TEMP Summary'!$T$22</f>
        <v>0</v>
      </c>
      <c r="N34" s="141">
        <f>'[1]TEMP Summary'!$T$22</f>
        <v>0</v>
      </c>
      <c r="O34" s="141">
        <f>'[1]TEMP Summary'!$T$22</f>
        <v>0</v>
      </c>
      <c r="P34" s="141">
        <f>'[1]TEMP Summary'!$T$22</f>
        <v>0</v>
      </c>
      <c r="Q34" s="141">
        <f>'[1]TEMP Summary'!$T$22</f>
        <v>0</v>
      </c>
      <c r="R34" s="141">
        <f>'[1]TEMP Summary'!$T$22</f>
        <v>0</v>
      </c>
      <c r="S34" s="141">
        <f>'[1]TEMP Summary'!$T$22</f>
        <v>0</v>
      </c>
      <c r="T34" s="141">
        <f>'[1]TEMP Summary'!$T$22</f>
        <v>0</v>
      </c>
      <c r="U34" s="141">
        <f>'[1]TEMP Summary'!$T$22</f>
        <v>0</v>
      </c>
      <c r="V34" s="141">
        <f>'[1]TEMP Summary'!$T$22</f>
        <v>0</v>
      </c>
      <c r="W34" s="141">
        <f>'[1]TEMP Summary'!$T$22</f>
        <v>0</v>
      </c>
      <c r="X34" s="141">
        <f>'[1]TEMP Summary'!$T$22</f>
        <v>0</v>
      </c>
      <c r="Y34" s="141">
        <f>'[1]TEMP Summary'!$T$22</f>
        <v>0</v>
      </c>
      <c r="Z34" s="141">
        <f>'[1]TEMP Summary'!$T$22</f>
        <v>0</v>
      </c>
      <c r="AA34" s="141">
        <f>'[1]TEMP Summary'!$T$22</f>
        <v>0</v>
      </c>
      <c r="AB34" s="141">
        <f>'[1]TEMP Summary'!$T$22</f>
        <v>0</v>
      </c>
      <c r="AC34" s="141">
        <f>'[1]TEMP Summary'!$T$22</f>
        <v>0</v>
      </c>
      <c r="AD34" s="141">
        <f>'[1]TEMP Summary'!$T$22</f>
        <v>0</v>
      </c>
      <c r="AE34" s="141">
        <f>'[1]TEMP Summary'!$T$22</f>
        <v>0</v>
      </c>
      <c r="AF34" s="141">
        <f>'[1]TEMP Summary'!$T$22</f>
        <v>0</v>
      </c>
      <c r="AG34" s="141">
        <f>'[1]TEMP Summary'!$T$22</f>
        <v>0</v>
      </c>
      <c r="AH34" s="412">
        <f t="shared" ref="AH34:AH44" si="10">SUM(C34:AG34)</f>
        <v>0</v>
      </c>
      <c r="AJ34" s="256">
        <f t="shared" si="9"/>
        <v>0</v>
      </c>
      <c r="AK34" s="257" t="s">
        <v>73</v>
      </c>
    </row>
    <row r="35" spans="1:37" x14ac:dyDescent="0.25">
      <c r="A35" s="165"/>
      <c r="B35" s="140" t="s">
        <v>74</v>
      </c>
      <c r="C35" s="141">
        <f>'[1]TEMP Summary'!$T$22</f>
        <v>0</v>
      </c>
      <c r="D35" s="141">
        <f>'[1]TEMP Summary'!$T$22</f>
        <v>0</v>
      </c>
      <c r="E35" s="141">
        <f>'[1]TEMP Summary'!$T$22</f>
        <v>0</v>
      </c>
      <c r="F35" s="141">
        <f>'[1]TEMP Summary'!$T$22</f>
        <v>0</v>
      </c>
      <c r="G35" s="141">
        <f>'[1]TEMP Summary'!$T$22</f>
        <v>0</v>
      </c>
      <c r="H35" s="141">
        <f>'[1]TEMP Summary'!$T$22</f>
        <v>0</v>
      </c>
      <c r="I35" s="141">
        <f>'[1]TEMP Summary'!$T$22</f>
        <v>0</v>
      </c>
      <c r="J35" s="141">
        <f>'[1]TEMP Summary'!$T$22</f>
        <v>0</v>
      </c>
      <c r="K35" s="141">
        <f>'[1]TEMP Summary'!$T$22</f>
        <v>0</v>
      </c>
      <c r="L35" s="141">
        <f>'[1]TEMP Summary'!$T$22</f>
        <v>0</v>
      </c>
      <c r="M35" s="141">
        <f>'[1]TEMP Summary'!$T$22</f>
        <v>0</v>
      </c>
      <c r="N35" s="141">
        <f>'[1]TEMP Summary'!$T$22</f>
        <v>0</v>
      </c>
      <c r="O35" s="141">
        <f>'[1]TEMP Summary'!$T$22</f>
        <v>0</v>
      </c>
      <c r="P35" s="141">
        <f>'[1]TEMP Summary'!$T$22</f>
        <v>0</v>
      </c>
      <c r="Q35" s="141">
        <f>'[1]TEMP Summary'!$T$22</f>
        <v>0</v>
      </c>
      <c r="R35" s="141">
        <f>'[1]TEMP Summary'!$T$22</f>
        <v>0</v>
      </c>
      <c r="S35" s="141">
        <f>'[1]TEMP Summary'!$T$22</f>
        <v>0</v>
      </c>
      <c r="T35" s="141">
        <f>'[1]TEMP Summary'!$T$22</f>
        <v>0</v>
      </c>
      <c r="U35" s="141">
        <f>'[1]TEMP Summary'!$T$22</f>
        <v>0</v>
      </c>
      <c r="V35" s="141">
        <f>'[1]TEMP Summary'!$T$22</f>
        <v>0</v>
      </c>
      <c r="W35" s="141">
        <f>'[1]TEMP Summary'!$T$22</f>
        <v>0</v>
      </c>
      <c r="X35" s="141">
        <f>'[1]TEMP Summary'!$T$22</f>
        <v>0</v>
      </c>
      <c r="Y35" s="141">
        <f>'[1]TEMP Summary'!$T$22</f>
        <v>0</v>
      </c>
      <c r="Z35" s="141">
        <f>'[1]TEMP Summary'!$T$22</f>
        <v>0</v>
      </c>
      <c r="AA35" s="141">
        <f>'[1]TEMP Summary'!$T$22</f>
        <v>0</v>
      </c>
      <c r="AB35" s="141">
        <f>'[1]TEMP Summary'!$T$22</f>
        <v>0</v>
      </c>
      <c r="AC35" s="141">
        <f>'[1]TEMP Summary'!$T$22</f>
        <v>0</v>
      </c>
      <c r="AD35" s="141">
        <f>'[1]TEMP Summary'!$T$22</f>
        <v>0</v>
      </c>
      <c r="AE35" s="141">
        <v>13</v>
      </c>
      <c r="AF35" s="141">
        <v>22</v>
      </c>
      <c r="AG35" s="141">
        <f>'[1]TEMP Summary'!$T$22</f>
        <v>0</v>
      </c>
      <c r="AH35" s="412">
        <f t="shared" si="10"/>
        <v>35</v>
      </c>
      <c r="AJ35" s="256">
        <f t="shared" si="9"/>
        <v>35</v>
      </c>
      <c r="AK35" s="257" t="s">
        <v>74</v>
      </c>
    </row>
    <row r="36" spans="1:37" x14ac:dyDescent="0.25">
      <c r="A36" s="165"/>
      <c r="B36" s="140" t="s">
        <v>72</v>
      </c>
      <c r="C36" s="141">
        <f>'[1]TEMP Summary'!$T$22</f>
        <v>0</v>
      </c>
      <c r="D36" s="141">
        <f>'[1]TEMP Summary'!$T$22</f>
        <v>0</v>
      </c>
      <c r="E36" s="141">
        <f>'[1]TEMP Summary'!$T$22</f>
        <v>0</v>
      </c>
      <c r="F36" s="141">
        <f>'[1]TEMP Summary'!$T$22</f>
        <v>0</v>
      </c>
      <c r="G36" s="141">
        <f>'[1]TEMP Summary'!$T$22</f>
        <v>0</v>
      </c>
      <c r="H36" s="141">
        <f>'[1]TEMP Summary'!$T$22</f>
        <v>0</v>
      </c>
      <c r="I36" s="141">
        <f>'[1]TEMP Summary'!$T$22</f>
        <v>0</v>
      </c>
      <c r="J36" s="141">
        <f>'[1]TEMP Summary'!$T$22</f>
        <v>0</v>
      </c>
      <c r="K36" s="141">
        <f>'[1]TEMP Summary'!$T$22</f>
        <v>0</v>
      </c>
      <c r="L36" s="141">
        <f>'[1]TEMP Summary'!$T$22</f>
        <v>0</v>
      </c>
      <c r="M36" s="141">
        <f>'[1]TEMP Summary'!$T$22</f>
        <v>0</v>
      </c>
      <c r="N36" s="141">
        <f>'[1]TEMP Summary'!$T$22</f>
        <v>0</v>
      </c>
      <c r="O36" s="141">
        <f>'[1]TEMP Summary'!$T$22</f>
        <v>0</v>
      </c>
      <c r="P36" s="141">
        <f>'[1]TEMP Summary'!$T$22</f>
        <v>0</v>
      </c>
      <c r="Q36" s="141">
        <f>'[1]TEMP Summary'!$T$22</f>
        <v>0</v>
      </c>
      <c r="R36" s="141">
        <f>'[1]TEMP Summary'!$T$22</f>
        <v>0</v>
      </c>
      <c r="S36" s="141">
        <f>'[1]TEMP Summary'!$T$22</f>
        <v>0</v>
      </c>
      <c r="T36" s="141">
        <f>'[1]TEMP Summary'!$T$22</f>
        <v>0</v>
      </c>
      <c r="U36" s="141">
        <f>'[1]TEMP Summary'!$T$22</f>
        <v>0</v>
      </c>
      <c r="V36" s="141">
        <f>'[1]TEMP Summary'!$T$22</f>
        <v>0</v>
      </c>
      <c r="W36" s="141">
        <f>'[1]TEMP Summary'!$T$22</f>
        <v>0</v>
      </c>
      <c r="X36" s="141">
        <f>'[1]TEMP Summary'!$T$22</f>
        <v>0</v>
      </c>
      <c r="Y36" s="141">
        <f>'[1]TEMP Summary'!$T$22</f>
        <v>0</v>
      </c>
      <c r="Z36" s="141">
        <f>'[1]TEMP Summary'!$T$22</f>
        <v>0</v>
      </c>
      <c r="AA36" s="141">
        <f>'[1]TEMP Summary'!$T$22</f>
        <v>0</v>
      </c>
      <c r="AB36" s="141">
        <f>'[1]TEMP Summary'!$T$22</f>
        <v>0</v>
      </c>
      <c r="AC36" s="141">
        <f>'[1]TEMP Summary'!$T$22</f>
        <v>0</v>
      </c>
      <c r="AD36" s="141">
        <f>'[1]TEMP Summary'!$T$22</f>
        <v>0</v>
      </c>
      <c r="AE36" s="141">
        <f>'[1]TEMP Summary'!$T$22</f>
        <v>0</v>
      </c>
      <c r="AF36" s="141">
        <v>7</v>
      </c>
      <c r="AG36" s="141">
        <f>'[1]TEMP Summary'!$T$22</f>
        <v>0</v>
      </c>
      <c r="AH36" s="412">
        <f>SUM(C36:AG36)</f>
        <v>7</v>
      </c>
      <c r="AJ36" s="256">
        <f t="shared" si="9"/>
        <v>7</v>
      </c>
      <c r="AK36" s="257" t="s">
        <v>72</v>
      </c>
    </row>
    <row r="37" spans="1:37" ht="15.75" thickBot="1" x14ac:dyDescent="0.3">
      <c r="A37" s="165"/>
      <c r="B37" s="456" t="s">
        <v>191</v>
      </c>
      <c r="C37" s="457">
        <f>SUM(C31:C36)</f>
        <v>0</v>
      </c>
      <c r="D37" s="457">
        <f t="shared" ref="D37:AF37" si="11">SUM(D31:D36)</f>
        <v>0</v>
      </c>
      <c r="E37" s="457">
        <f t="shared" si="11"/>
        <v>0</v>
      </c>
      <c r="F37" s="457">
        <f t="shared" si="11"/>
        <v>0</v>
      </c>
      <c r="G37" s="457">
        <f t="shared" si="11"/>
        <v>0</v>
      </c>
      <c r="H37" s="457">
        <f t="shared" si="11"/>
        <v>0</v>
      </c>
      <c r="I37" s="457">
        <f t="shared" si="11"/>
        <v>0</v>
      </c>
      <c r="J37" s="457">
        <f t="shared" si="11"/>
        <v>0</v>
      </c>
      <c r="K37" s="457">
        <f t="shared" si="11"/>
        <v>0</v>
      </c>
      <c r="L37" s="457">
        <f t="shared" si="11"/>
        <v>0</v>
      </c>
      <c r="M37" s="457">
        <f t="shared" si="11"/>
        <v>0</v>
      </c>
      <c r="N37" s="457">
        <f t="shared" si="11"/>
        <v>0</v>
      </c>
      <c r="O37" s="457">
        <f t="shared" si="11"/>
        <v>0</v>
      </c>
      <c r="P37" s="457">
        <f t="shared" si="11"/>
        <v>0</v>
      </c>
      <c r="Q37" s="457">
        <f t="shared" si="11"/>
        <v>0</v>
      </c>
      <c r="R37" s="457">
        <f t="shared" si="11"/>
        <v>0</v>
      </c>
      <c r="S37" s="457">
        <f t="shared" si="11"/>
        <v>0</v>
      </c>
      <c r="T37" s="457">
        <f t="shared" si="11"/>
        <v>0</v>
      </c>
      <c r="U37" s="457">
        <f t="shared" si="11"/>
        <v>0</v>
      </c>
      <c r="V37" s="457">
        <f t="shared" si="11"/>
        <v>0</v>
      </c>
      <c r="W37" s="457">
        <f t="shared" si="11"/>
        <v>0</v>
      </c>
      <c r="X37" s="457">
        <f t="shared" si="11"/>
        <v>0</v>
      </c>
      <c r="Y37" s="457">
        <f t="shared" si="11"/>
        <v>0</v>
      </c>
      <c r="Z37" s="457">
        <f t="shared" si="11"/>
        <v>0</v>
      </c>
      <c r="AA37" s="457">
        <f t="shared" si="11"/>
        <v>0</v>
      </c>
      <c r="AB37" s="457">
        <f t="shared" si="11"/>
        <v>0</v>
      </c>
      <c r="AC37" s="457">
        <f t="shared" si="11"/>
        <v>0</v>
      </c>
      <c r="AD37" s="457">
        <f t="shared" si="11"/>
        <v>0</v>
      </c>
      <c r="AE37" s="457">
        <f t="shared" si="11"/>
        <v>99</v>
      </c>
      <c r="AF37" s="457">
        <f t="shared" si="11"/>
        <v>191</v>
      </c>
      <c r="AG37" s="446">
        <f>SUM(AG34:AG35)</f>
        <v>0</v>
      </c>
      <c r="AH37" s="411">
        <f>SUM(C37:AG37)</f>
        <v>290</v>
      </c>
      <c r="AJ37" s="256"/>
      <c r="AK37" s="257"/>
    </row>
    <row r="38" spans="1:37" x14ac:dyDescent="0.25">
      <c r="A38" s="165"/>
      <c r="B38" s="454" t="s">
        <v>76</v>
      </c>
      <c r="C38" s="455">
        <f>'[1]TEMP Summary'!$T$22</f>
        <v>0</v>
      </c>
      <c r="D38" s="455">
        <f>'[1]TEMP Summary'!$T$22</f>
        <v>0</v>
      </c>
      <c r="E38" s="455">
        <f>'[1]TEMP Summary'!$T$22</f>
        <v>0</v>
      </c>
      <c r="F38" s="455">
        <f>'[1]TEMP Summary'!$T$22</f>
        <v>0</v>
      </c>
      <c r="G38" s="455">
        <f>'[1]TEMP Summary'!$T$22</f>
        <v>0</v>
      </c>
      <c r="H38" s="455">
        <f>'[1]TEMP Summary'!$T$22</f>
        <v>0</v>
      </c>
      <c r="I38" s="455">
        <f>'[1]TEMP Summary'!$T$22</f>
        <v>0</v>
      </c>
      <c r="J38" s="455">
        <f>'[1]TEMP Summary'!$T$22</f>
        <v>0</v>
      </c>
      <c r="K38" s="455">
        <f>'[1]TEMP Summary'!$T$22</f>
        <v>0</v>
      </c>
      <c r="L38" s="455">
        <f>'[1]TEMP Summary'!$T$22</f>
        <v>0</v>
      </c>
      <c r="M38" s="455">
        <f>'[1]TEMP Summary'!$T$22</f>
        <v>0</v>
      </c>
      <c r="N38" s="455">
        <f>'[1]TEMP Summary'!$T$22</f>
        <v>0</v>
      </c>
      <c r="O38" s="455">
        <f>'[1]TEMP Summary'!$T$22</f>
        <v>0</v>
      </c>
      <c r="P38" s="455">
        <f>'[1]TEMP Summary'!$T$22</f>
        <v>0</v>
      </c>
      <c r="Q38" s="455">
        <f>'[1]TEMP Summary'!$T$22</f>
        <v>0</v>
      </c>
      <c r="R38" s="455">
        <f>'[1]TEMP Summary'!$T$22</f>
        <v>0</v>
      </c>
      <c r="S38" s="455">
        <f>'[1]TEMP Summary'!$T$22</f>
        <v>0</v>
      </c>
      <c r="T38" s="455">
        <f>'[1]TEMP Summary'!$T$22</f>
        <v>0</v>
      </c>
      <c r="U38" s="455">
        <f>'[1]TEMP Summary'!$T$22</f>
        <v>0</v>
      </c>
      <c r="V38" s="455">
        <f>'[1]TEMP Summary'!$T$22</f>
        <v>0</v>
      </c>
      <c r="W38" s="455">
        <f>'[1]TEMP Summary'!$T$22</f>
        <v>0</v>
      </c>
      <c r="X38" s="455">
        <f>'[1]TEMP Summary'!$T$22</f>
        <v>0</v>
      </c>
      <c r="Y38" s="455">
        <f>'[1]TEMP Summary'!$T$22</f>
        <v>0</v>
      </c>
      <c r="Z38" s="455">
        <f>'[1]TEMP Summary'!$T$22</f>
        <v>0</v>
      </c>
      <c r="AA38" s="455">
        <f>'[1]TEMP Summary'!$T$22</f>
        <v>0</v>
      </c>
      <c r="AB38" s="455">
        <f>'[1]TEMP Summary'!$T$22</f>
        <v>0</v>
      </c>
      <c r="AC38" s="455">
        <f>'[1]TEMP Summary'!$T$22</f>
        <v>0</v>
      </c>
      <c r="AD38" s="455">
        <f>'[1]TEMP Summary'!$T$22</f>
        <v>0</v>
      </c>
      <c r="AE38" s="455">
        <f>'[1]TEMP Summary'!$T$22</f>
        <v>0</v>
      </c>
      <c r="AF38" s="455">
        <f>'[1]TEMP Summary'!$T$22</f>
        <v>0</v>
      </c>
      <c r="AG38" s="142">
        <f>'[1]TEMP Summary'!$T$22</f>
        <v>0</v>
      </c>
      <c r="AH38" s="412">
        <f>SUM(C38:AG38)</f>
        <v>0</v>
      </c>
      <c r="AJ38" s="256"/>
      <c r="AK38" s="258"/>
    </row>
    <row r="39" spans="1:37" x14ac:dyDescent="0.25">
      <c r="A39" s="165"/>
      <c r="B39" s="140" t="s">
        <v>75</v>
      </c>
      <c r="C39" s="141">
        <f>'[1]TEMP Summary'!$T$22</f>
        <v>0</v>
      </c>
      <c r="D39" s="141">
        <f>'[1]TEMP Summary'!$T$22</f>
        <v>0</v>
      </c>
      <c r="E39" s="141">
        <f>'[1]TEMP Summary'!$T$22</f>
        <v>0</v>
      </c>
      <c r="F39" s="141">
        <f>'[1]TEMP Summary'!$T$22</f>
        <v>0</v>
      </c>
      <c r="G39" s="141">
        <f>'[1]TEMP Summary'!$T$22</f>
        <v>0</v>
      </c>
      <c r="H39" s="141">
        <f>'[1]TEMP Summary'!$T$22</f>
        <v>0</v>
      </c>
      <c r="I39" s="141">
        <f>'[1]TEMP Summary'!$T$22</f>
        <v>0</v>
      </c>
      <c r="J39" s="141">
        <f>'[1]TEMP Summary'!$T$22</f>
        <v>0</v>
      </c>
      <c r="K39" s="141">
        <f>'[1]TEMP Summary'!$T$22</f>
        <v>0</v>
      </c>
      <c r="L39" s="141">
        <f>'[1]TEMP Summary'!$T$22</f>
        <v>0</v>
      </c>
      <c r="M39" s="141">
        <f>'[1]TEMP Summary'!$T$22</f>
        <v>0</v>
      </c>
      <c r="N39" s="141">
        <f>'[1]TEMP Summary'!$T$22</f>
        <v>0</v>
      </c>
      <c r="O39" s="141">
        <f>'[1]TEMP Summary'!$T$22</f>
        <v>0</v>
      </c>
      <c r="P39" s="141">
        <f>'[1]TEMP Summary'!$T$22</f>
        <v>0</v>
      </c>
      <c r="Q39" s="141">
        <f>'[1]TEMP Summary'!$T$22</f>
        <v>0</v>
      </c>
      <c r="R39" s="141">
        <f>'[1]TEMP Summary'!$T$22</f>
        <v>0</v>
      </c>
      <c r="S39" s="141">
        <f>'[1]TEMP Summary'!$T$22</f>
        <v>0</v>
      </c>
      <c r="T39" s="141">
        <f>'[1]TEMP Summary'!$T$22</f>
        <v>0</v>
      </c>
      <c r="U39" s="141">
        <f>'[1]TEMP Summary'!$T$22</f>
        <v>0</v>
      </c>
      <c r="V39" s="141">
        <f>'[1]TEMP Summary'!$T$22</f>
        <v>0</v>
      </c>
      <c r="W39" s="141">
        <f>'[1]TEMP Summary'!$T$22</f>
        <v>0</v>
      </c>
      <c r="X39" s="141">
        <f>'[1]TEMP Summary'!$T$22</f>
        <v>0</v>
      </c>
      <c r="Y39" s="141">
        <f>'[1]TEMP Summary'!$T$22</f>
        <v>0</v>
      </c>
      <c r="Z39" s="141">
        <f>'[1]TEMP Summary'!$T$22</f>
        <v>0</v>
      </c>
      <c r="AA39" s="141">
        <f>'[1]TEMP Summary'!$T$22</f>
        <v>0</v>
      </c>
      <c r="AB39" s="141">
        <f>'[1]TEMP Summary'!$T$22</f>
        <v>0</v>
      </c>
      <c r="AC39" s="141">
        <f>'[1]TEMP Summary'!$T$22</f>
        <v>0</v>
      </c>
      <c r="AD39" s="141">
        <f>'[1]TEMP Summary'!$T$22</f>
        <v>0</v>
      </c>
      <c r="AE39" s="141">
        <f>'[1]TEMP Summary'!$T$22</f>
        <v>0</v>
      </c>
      <c r="AF39" s="141">
        <f>'[1]TEMP Summary'!$T$22</f>
        <v>0</v>
      </c>
      <c r="AG39" s="142">
        <f>'[1]TEMP Summary'!$T$22</f>
        <v>0</v>
      </c>
      <c r="AH39" s="412">
        <f>SUM(C39:AG39)</f>
        <v>0</v>
      </c>
      <c r="AJ39" s="256"/>
      <c r="AK39" s="257"/>
    </row>
    <row r="40" spans="1:37" x14ac:dyDescent="0.25">
      <c r="A40" s="165"/>
      <c r="B40" s="140" t="s">
        <v>217</v>
      </c>
      <c r="C40" s="141">
        <f>'[1]TEMP Summary'!$T$22</f>
        <v>0</v>
      </c>
      <c r="D40" s="141">
        <f>'[1]TEMP Summary'!$T$22</f>
        <v>0</v>
      </c>
      <c r="E40" s="141">
        <f>'[1]TEMP Summary'!$T$22</f>
        <v>0</v>
      </c>
      <c r="F40" s="141">
        <f>'[1]TEMP Summary'!$T$22</f>
        <v>0</v>
      </c>
      <c r="G40" s="141">
        <f>'[1]TEMP Summary'!$T$22</f>
        <v>0</v>
      </c>
      <c r="H40" s="141">
        <f>'[1]TEMP Summary'!$T$22</f>
        <v>0</v>
      </c>
      <c r="I40" s="141">
        <f>'[1]TEMP Summary'!$T$22</f>
        <v>0</v>
      </c>
      <c r="J40" s="141">
        <f>'[1]TEMP Summary'!$T$22</f>
        <v>0</v>
      </c>
      <c r="K40" s="141">
        <f>'[1]TEMP Summary'!$T$22</f>
        <v>0</v>
      </c>
      <c r="L40" s="141">
        <f>'[1]TEMP Summary'!$T$22</f>
        <v>0</v>
      </c>
      <c r="M40" s="141">
        <f>'[1]TEMP Summary'!$T$22</f>
        <v>0</v>
      </c>
      <c r="N40" s="141">
        <f>'[1]TEMP Summary'!$T$22</f>
        <v>0</v>
      </c>
      <c r="O40" s="141">
        <f>'[1]TEMP Summary'!$T$22</f>
        <v>0</v>
      </c>
      <c r="P40" s="141">
        <f>'[1]TEMP Summary'!$T$22</f>
        <v>0</v>
      </c>
      <c r="Q40" s="141">
        <f>'[1]TEMP Summary'!$T$22</f>
        <v>0</v>
      </c>
      <c r="R40" s="141">
        <f>'[1]TEMP Summary'!$T$22</f>
        <v>0</v>
      </c>
      <c r="S40" s="141">
        <f>'[1]TEMP Summary'!$T$22</f>
        <v>0</v>
      </c>
      <c r="T40" s="141">
        <f>'[1]TEMP Summary'!$T$22</f>
        <v>0</v>
      </c>
      <c r="U40" s="141">
        <f>'[1]TEMP Summary'!$T$22</f>
        <v>0</v>
      </c>
      <c r="V40" s="141">
        <f>'[1]TEMP Summary'!$T$22</f>
        <v>0</v>
      </c>
      <c r="W40" s="141">
        <f>'[1]TEMP Summary'!$T$22</f>
        <v>0</v>
      </c>
      <c r="X40" s="141">
        <f>'[1]TEMP Summary'!$T$22</f>
        <v>0</v>
      </c>
      <c r="Y40" s="141">
        <f>'[1]TEMP Summary'!$T$22</f>
        <v>0</v>
      </c>
      <c r="Z40" s="141">
        <f>'[1]TEMP Summary'!$T$22</f>
        <v>0</v>
      </c>
      <c r="AA40" s="141">
        <f>'[1]TEMP Summary'!$T$22</f>
        <v>0</v>
      </c>
      <c r="AB40" s="141">
        <f>'[1]TEMP Summary'!$T$22</f>
        <v>0</v>
      </c>
      <c r="AC40" s="141">
        <f>'[1]TEMP Summary'!$T$22</f>
        <v>0</v>
      </c>
      <c r="AD40" s="141">
        <f>'[1]TEMP Summary'!$T$22</f>
        <v>0</v>
      </c>
      <c r="AE40" s="141">
        <f>'[1]TEMP Summary'!$T$22</f>
        <v>0</v>
      </c>
      <c r="AF40" s="141">
        <f>'[1]TEMP Summary'!$T$22</f>
        <v>0</v>
      </c>
      <c r="AG40" s="142"/>
      <c r="AH40" s="412">
        <f>SUM(C40:AG40)</f>
        <v>0</v>
      </c>
      <c r="AJ40" s="256"/>
      <c r="AK40" s="257"/>
    </row>
    <row r="41" spans="1:37" x14ac:dyDescent="0.25">
      <c r="A41" s="165"/>
      <c r="B41" s="140" t="s">
        <v>73</v>
      </c>
      <c r="C41" s="141">
        <f>'[1]TEMP Summary'!$T$22</f>
        <v>0</v>
      </c>
      <c r="D41" s="141">
        <f>'[1]TEMP Summary'!$T$22</f>
        <v>0</v>
      </c>
      <c r="E41" s="141">
        <f>'[1]TEMP Summary'!$T$22</f>
        <v>0</v>
      </c>
      <c r="F41" s="141">
        <f>'[1]TEMP Summary'!$T$22</f>
        <v>0</v>
      </c>
      <c r="G41" s="141">
        <f>'[1]TEMP Summary'!$T$22</f>
        <v>0</v>
      </c>
      <c r="H41" s="141">
        <f>'[1]TEMP Summary'!$T$22</f>
        <v>0</v>
      </c>
      <c r="I41" s="141">
        <f>'[1]TEMP Summary'!$T$22</f>
        <v>0</v>
      </c>
      <c r="J41" s="141">
        <f>'[1]TEMP Summary'!$T$22</f>
        <v>0</v>
      </c>
      <c r="K41" s="141">
        <f>'[1]TEMP Summary'!$T$22</f>
        <v>0</v>
      </c>
      <c r="L41" s="141">
        <f>'[1]TEMP Summary'!$T$22</f>
        <v>0</v>
      </c>
      <c r="M41" s="141">
        <f>'[1]TEMP Summary'!$T$22</f>
        <v>0</v>
      </c>
      <c r="N41" s="141">
        <f>'[1]TEMP Summary'!$T$22</f>
        <v>0</v>
      </c>
      <c r="O41" s="141">
        <f>'[1]TEMP Summary'!$T$22</f>
        <v>0</v>
      </c>
      <c r="P41" s="141">
        <f>'[1]TEMP Summary'!$T$22</f>
        <v>0</v>
      </c>
      <c r="Q41" s="141">
        <f>'[1]TEMP Summary'!$T$22</f>
        <v>0</v>
      </c>
      <c r="R41" s="141">
        <f>'[1]TEMP Summary'!$T$22</f>
        <v>0</v>
      </c>
      <c r="S41" s="141">
        <f>'[1]TEMP Summary'!$T$22</f>
        <v>0</v>
      </c>
      <c r="T41" s="141">
        <f>'[1]TEMP Summary'!$T$22</f>
        <v>0</v>
      </c>
      <c r="U41" s="141">
        <f>'[1]TEMP Summary'!$T$22</f>
        <v>0</v>
      </c>
      <c r="V41" s="141">
        <f>'[1]TEMP Summary'!$T$22</f>
        <v>0</v>
      </c>
      <c r="W41" s="141">
        <f>'[1]TEMP Summary'!$T$22</f>
        <v>0</v>
      </c>
      <c r="X41" s="141">
        <f>'[1]TEMP Summary'!$T$22</f>
        <v>0</v>
      </c>
      <c r="Y41" s="141">
        <f>'[1]TEMP Summary'!$T$22</f>
        <v>0</v>
      </c>
      <c r="Z41" s="141">
        <f>'[1]TEMP Summary'!$T$22</f>
        <v>0</v>
      </c>
      <c r="AA41" s="141">
        <f>'[1]TEMP Summary'!$T$22</f>
        <v>0</v>
      </c>
      <c r="AB41" s="141">
        <f>'[1]TEMP Summary'!$T$22</f>
        <v>0</v>
      </c>
      <c r="AC41" s="141">
        <f>'[1]TEMP Summary'!$T$22</f>
        <v>0</v>
      </c>
      <c r="AD41" s="141">
        <f>'[1]TEMP Summary'!$T$22</f>
        <v>0</v>
      </c>
      <c r="AE41" s="141">
        <f>'[1]TEMP Summary'!$T$22</f>
        <v>0</v>
      </c>
      <c r="AF41" s="141">
        <f>'[1]TEMP Summary'!$T$22</f>
        <v>0</v>
      </c>
      <c r="AG41" s="142">
        <f>'[1]TEMP Summary'!$T$22</f>
        <v>0</v>
      </c>
      <c r="AH41" s="412">
        <f t="shared" si="10"/>
        <v>0</v>
      </c>
      <c r="AJ41" s="256"/>
      <c r="AK41" s="257"/>
    </row>
    <row r="42" spans="1:37" ht="15.75" thickBot="1" x14ac:dyDescent="0.3">
      <c r="A42" s="165"/>
      <c r="B42" s="140" t="s">
        <v>74</v>
      </c>
      <c r="C42" s="141">
        <f>'[1]TEMP Summary'!$T$22</f>
        <v>0</v>
      </c>
      <c r="D42" s="141">
        <f>'[1]TEMP Summary'!$T$22</f>
        <v>0</v>
      </c>
      <c r="E42" s="141">
        <f>'[1]TEMP Summary'!$T$22</f>
        <v>0</v>
      </c>
      <c r="F42" s="141">
        <f>'[1]TEMP Summary'!$T$22</f>
        <v>0</v>
      </c>
      <c r="G42" s="141">
        <f>'[1]TEMP Summary'!$T$22</f>
        <v>0</v>
      </c>
      <c r="H42" s="141">
        <f>'[1]TEMP Summary'!$T$22</f>
        <v>0</v>
      </c>
      <c r="I42" s="141">
        <f>'[1]TEMP Summary'!$T$22</f>
        <v>0</v>
      </c>
      <c r="J42" s="141">
        <f>'[1]TEMP Summary'!$T$22</f>
        <v>0</v>
      </c>
      <c r="K42" s="141">
        <f>'[1]TEMP Summary'!$T$22</f>
        <v>0</v>
      </c>
      <c r="L42" s="141">
        <f>'[1]TEMP Summary'!$T$22</f>
        <v>0</v>
      </c>
      <c r="M42" s="141">
        <f>'[1]TEMP Summary'!$T$22</f>
        <v>0</v>
      </c>
      <c r="N42" s="141">
        <f>'[1]TEMP Summary'!$T$22</f>
        <v>0</v>
      </c>
      <c r="O42" s="141">
        <f>'[1]TEMP Summary'!$T$22</f>
        <v>0</v>
      </c>
      <c r="P42" s="141">
        <f>'[1]TEMP Summary'!$T$22</f>
        <v>0</v>
      </c>
      <c r="Q42" s="141">
        <f>'[1]TEMP Summary'!$T$22</f>
        <v>0</v>
      </c>
      <c r="R42" s="141">
        <f>'[1]TEMP Summary'!$T$22</f>
        <v>0</v>
      </c>
      <c r="S42" s="141">
        <f>'[1]TEMP Summary'!$T$22</f>
        <v>0</v>
      </c>
      <c r="T42" s="141">
        <f>'[1]TEMP Summary'!$T$22</f>
        <v>0</v>
      </c>
      <c r="U42" s="141">
        <f>'[1]TEMP Summary'!$T$22</f>
        <v>0</v>
      </c>
      <c r="V42" s="141">
        <f>'[1]TEMP Summary'!$T$22</f>
        <v>0</v>
      </c>
      <c r="W42" s="141">
        <f>'[1]TEMP Summary'!$T$22</f>
        <v>0</v>
      </c>
      <c r="X42" s="141">
        <f>'[1]TEMP Summary'!$T$22</f>
        <v>0</v>
      </c>
      <c r="Y42" s="141">
        <f>'[1]TEMP Summary'!$T$22</f>
        <v>0</v>
      </c>
      <c r="Z42" s="141">
        <f>'[1]TEMP Summary'!$T$22</f>
        <v>0</v>
      </c>
      <c r="AA42" s="141">
        <f>'[1]TEMP Summary'!$T$22</f>
        <v>0</v>
      </c>
      <c r="AB42" s="141">
        <f>'[1]TEMP Summary'!$T$22</f>
        <v>0</v>
      </c>
      <c r="AC42" s="141">
        <f>'[1]TEMP Summary'!$T$22</f>
        <v>0</v>
      </c>
      <c r="AD42" s="141">
        <f>'[1]TEMP Summary'!$T$22</f>
        <v>0</v>
      </c>
      <c r="AE42" s="141">
        <f>'[1]TEMP Summary'!$T$22</f>
        <v>0</v>
      </c>
      <c r="AF42" s="141">
        <f>'[1]TEMP Summary'!$T$22</f>
        <v>0</v>
      </c>
      <c r="AG42" s="142">
        <f>'[1]TEMP Summary'!$T$22</f>
        <v>0</v>
      </c>
      <c r="AH42" s="412">
        <f t="shared" si="10"/>
        <v>0</v>
      </c>
      <c r="AJ42" s="256"/>
      <c r="AK42" s="257"/>
    </row>
    <row r="43" spans="1:37" x14ac:dyDescent="0.25">
      <c r="A43" s="165"/>
      <c r="B43" s="140" t="s">
        <v>72</v>
      </c>
      <c r="C43" s="141">
        <f>'[1]TEMP Summary'!$T$22</f>
        <v>0</v>
      </c>
      <c r="D43" s="141">
        <f>'[1]TEMP Summary'!$T$22</f>
        <v>0</v>
      </c>
      <c r="E43" s="141">
        <f>'[1]TEMP Summary'!$T$22</f>
        <v>0</v>
      </c>
      <c r="F43" s="141">
        <f>'[1]TEMP Summary'!$T$22</f>
        <v>0</v>
      </c>
      <c r="G43" s="141">
        <f>'[1]TEMP Summary'!$T$22</f>
        <v>0</v>
      </c>
      <c r="H43" s="141">
        <f>'[1]TEMP Summary'!$T$22</f>
        <v>0</v>
      </c>
      <c r="I43" s="141">
        <f>'[1]TEMP Summary'!$T$22</f>
        <v>0</v>
      </c>
      <c r="J43" s="141">
        <f>'[1]TEMP Summary'!$T$22</f>
        <v>0</v>
      </c>
      <c r="K43" s="141">
        <f>'[1]TEMP Summary'!$T$22</f>
        <v>0</v>
      </c>
      <c r="L43" s="141">
        <f>'[1]TEMP Summary'!$T$22</f>
        <v>0</v>
      </c>
      <c r="M43" s="141">
        <f>'[1]TEMP Summary'!$T$22</f>
        <v>0</v>
      </c>
      <c r="N43" s="141">
        <f>'[1]TEMP Summary'!$T$22</f>
        <v>0</v>
      </c>
      <c r="O43" s="141">
        <f>'[1]TEMP Summary'!$T$22</f>
        <v>0</v>
      </c>
      <c r="P43" s="141">
        <f>'[1]TEMP Summary'!$T$22</f>
        <v>0</v>
      </c>
      <c r="Q43" s="141">
        <f>'[1]TEMP Summary'!$T$22</f>
        <v>0</v>
      </c>
      <c r="R43" s="141">
        <f>'[1]TEMP Summary'!$T$22</f>
        <v>0</v>
      </c>
      <c r="S43" s="141">
        <f>'[1]TEMP Summary'!$T$22</f>
        <v>0</v>
      </c>
      <c r="T43" s="141">
        <f>'[1]TEMP Summary'!$T$22</f>
        <v>0</v>
      </c>
      <c r="U43" s="141">
        <f>'[1]TEMP Summary'!$T$22</f>
        <v>0</v>
      </c>
      <c r="V43" s="141">
        <f>'[1]TEMP Summary'!$T$22</f>
        <v>0</v>
      </c>
      <c r="W43" s="141">
        <f>'[1]TEMP Summary'!$T$22</f>
        <v>0</v>
      </c>
      <c r="X43" s="141">
        <f>'[1]TEMP Summary'!$T$22</f>
        <v>0</v>
      </c>
      <c r="Y43" s="141">
        <f>'[1]TEMP Summary'!$T$22</f>
        <v>0</v>
      </c>
      <c r="Z43" s="141">
        <f>'[1]TEMP Summary'!$T$22</f>
        <v>0</v>
      </c>
      <c r="AA43" s="141">
        <f>'[1]TEMP Summary'!$T$22</f>
        <v>0</v>
      </c>
      <c r="AB43" s="141">
        <f>'[1]TEMP Summary'!$T$22</f>
        <v>0</v>
      </c>
      <c r="AC43" s="141">
        <f>'[1]TEMP Summary'!$T$22</f>
        <v>0</v>
      </c>
      <c r="AD43" s="141">
        <f>'[1]TEMP Summary'!$T$22</f>
        <v>0</v>
      </c>
      <c r="AE43" s="141">
        <f>'[1]TEMP Summary'!$T$22</f>
        <v>0</v>
      </c>
      <c r="AF43" s="141">
        <f>'[1]TEMP Summary'!$T$22</f>
        <v>0</v>
      </c>
      <c r="AG43" s="139">
        <f>'[1]TEMP Summary'!$T$22</f>
        <v>0</v>
      </c>
      <c r="AH43" s="412">
        <f>SUM(C43:AG43)</f>
        <v>0</v>
      </c>
      <c r="AJ43" s="256"/>
      <c r="AK43" s="257"/>
    </row>
    <row r="44" spans="1:37" ht="15.75" thickBot="1" x14ac:dyDescent="0.3">
      <c r="A44" s="165"/>
      <c r="B44" s="447" t="s">
        <v>190</v>
      </c>
      <c r="C44" s="445">
        <f>SUM(C38:C43)</f>
        <v>0</v>
      </c>
      <c r="D44" s="445">
        <f t="shared" ref="D44:AF44" si="12">SUM(D38:D43)</f>
        <v>0</v>
      </c>
      <c r="E44" s="445">
        <f t="shared" si="12"/>
        <v>0</v>
      </c>
      <c r="F44" s="445">
        <f t="shared" si="12"/>
        <v>0</v>
      </c>
      <c r="G44" s="445">
        <f t="shared" si="12"/>
        <v>0</v>
      </c>
      <c r="H44" s="445">
        <f t="shared" si="12"/>
        <v>0</v>
      </c>
      <c r="I44" s="445">
        <f t="shared" si="12"/>
        <v>0</v>
      </c>
      <c r="J44" s="445">
        <f t="shared" si="12"/>
        <v>0</v>
      </c>
      <c r="K44" s="445">
        <f t="shared" si="12"/>
        <v>0</v>
      </c>
      <c r="L44" s="445">
        <f t="shared" si="12"/>
        <v>0</v>
      </c>
      <c r="M44" s="445">
        <f t="shared" si="12"/>
        <v>0</v>
      </c>
      <c r="N44" s="445">
        <f t="shared" si="12"/>
        <v>0</v>
      </c>
      <c r="O44" s="445">
        <f t="shared" si="12"/>
        <v>0</v>
      </c>
      <c r="P44" s="445">
        <f t="shared" si="12"/>
        <v>0</v>
      </c>
      <c r="Q44" s="445">
        <f t="shared" si="12"/>
        <v>0</v>
      </c>
      <c r="R44" s="445">
        <f t="shared" si="12"/>
        <v>0</v>
      </c>
      <c r="S44" s="445">
        <f t="shared" si="12"/>
        <v>0</v>
      </c>
      <c r="T44" s="445">
        <f t="shared" si="12"/>
        <v>0</v>
      </c>
      <c r="U44" s="445">
        <f t="shared" si="12"/>
        <v>0</v>
      </c>
      <c r="V44" s="445">
        <f t="shared" si="12"/>
        <v>0</v>
      </c>
      <c r="W44" s="445">
        <f t="shared" si="12"/>
        <v>0</v>
      </c>
      <c r="X44" s="445">
        <f t="shared" si="12"/>
        <v>0</v>
      </c>
      <c r="Y44" s="445">
        <f t="shared" si="12"/>
        <v>0</v>
      </c>
      <c r="Z44" s="445">
        <f t="shared" si="12"/>
        <v>0</v>
      </c>
      <c r="AA44" s="445">
        <f t="shared" si="12"/>
        <v>0</v>
      </c>
      <c r="AB44" s="445">
        <f t="shared" si="12"/>
        <v>0</v>
      </c>
      <c r="AC44" s="445">
        <f t="shared" si="12"/>
        <v>0</v>
      </c>
      <c r="AD44" s="445">
        <f t="shared" si="12"/>
        <v>0</v>
      </c>
      <c r="AE44" s="445">
        <f t="shared" si="12"/>
        <v>0</v>
      </c>
      <c r="AF44" s="445">
        <f t="shared" si="12"/>
        <v>0</v>
      </c>
      <c r="AG44" s="446">
        <f>SUM(AG41:AG42)</f>
        <v>0</v>
      </c>
      <c r="AH44" s="411">
        <f t="shared" si="10"/>
        <v>0</v>
      </c>
      <c r="AJ44" s="410"/>
      <c r="AK44" s="409"/>
    </row>
    <row r="45" spans="1:37" s="167" customFormat="1" ht="15.75" thickBot="1" x14ac:dyDescent="0.3">
      <c r="A45" s="166"/>
      <c r="B45" s="143" t="s">
        <v>77</v>
      </c>
      <c r="C45" s="144">
        <f>SUM(C31:C36,C38:C43)</f>
        <v>0</v>
      </c>
      <c r="D45" s="144">
        <f t="shared" ref="D45:AF45" si="13">SUM(D31:D36,D38:D43)</f>
        <v>0</v>
      </c>
      <c r="E45" s="144">
        <f t="shared" si="13"/>
        <v>0</v>
      </c>
      <c r="F45" s="144">
        <f t="shared" si="13"/>
        <v>0</v>
      </c>
      <c r="G45" s="144">
        <f t="shared" si="13"/>
        <v>0</v>
      </c>
      <c r="H45" s="144">
        <f t="shared" si="13"/>
        <v>0</v>
      </c>
      <c r="I45" s="144">
        <f t="shared" si="13"/>
        <v>0</v>
      </c>
      <c r="J45" s="144">
        <f t="shared" si="13"/>
        <v>0</v>
      </c>
      <c r="K45" s="144">
        <f t="shared" si="13"/>
        <v>0</v>
      </c>
      <c r="L45" s="144">
        <f t="shared" si="13"/>
        <v>0</v>
      </c>
      <c r="M45" s="144">
        <f t="shared" si="13"/>
        <v>0</v>
      </c>
      <c r="N45" s="144">
        <f t="shared" si="13"/>
        <v>0</v>
      </c>
      <c r="O45" s="144">
        <f t="shared" si="13"/>
        <v>0</v>
      </c>
      <c r="P45" s="144">
        <f t="shared" si="13"/>
        <v>0</v>
      </c>
      <c r="Q45" s="144">
        <f t="shared" si="13"/>
        <v>0</v>
      </c>
      <c r="R45" s="144">
        <f t="shared" si="13"/>
        <v>0</v>
      </c>
      <c r="S45" s="144">
        <f t="shared" si="13"/>
        <v>0</v>
      </c>
      <c r="T45" s="144">
        <f t="shared" si="13"/>
        <v>0</v>
      </c>
      <c r="U45" s="144">
        <f t="shared" si="13"/>
        <v>0</v>
      </c>
      <c r="V45" s="144">
        <f t="shared" si="13"/>
        <v>0</v>
      </c>
      <c r="W45" s="144">
        <f t="shared" si="13"/>
        <v>0</v>
      </c>
      <c r="X45" s="144">
        <f t="shared" si="13"/>
        <v>0</v>
      </c>
      <c r="Y45" s="144">
        <f t="shared" si="13"/>
        <v>0</v>
      </c>
      <c r="Z45" s="144">
        <f t="shared" si="13"/>
        <v>0</v>
      </c>
      <c r="AA45" s="144">
        <f t="shared" si="13"/>
        <v>0</v>
      </c>
      <c r="AB45" s="144">
        <f t="shared" si="13"/>
        <v>0</v>
      </c>
      <c r="AC45" s="144">
        <f t="shared" si="13"/>
        <v>0</v>
      </c>
      <c r="AD45" s="144">
        <f t="shared" si="13"/>
        <v>0</v>
      </c>
      <c r="AE45" s="144">
        <f t="shared" si="13"/>
        <v>99</v>
      </c>
      <c r="AF45" s="144">
        <f t="shared" si="13"/>
        <v>191</v>
      </c>
      <c r="AG45" s="261">
        <f>SUM(AG34:AG35,AG41:AG42)</f>
        <v>0</v>
      </c>
      <c r="AH45" s="145">
        <f>SUM(AH31:AH36,AH38:AH43)</f>
        <v>290</v>
      </c>
      <c r="AJ45" s="259">
        <f>AH45</f>
        <v>290</v>
      </c>
      <c r="AK45" s="260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0:AK30"/>
    <mergeCell ref="AJ17:AM17"/>
    <mergeCell ref="AJ24:AK24"/>
    <mergeCell ref="AL24:AM24"/>
  </mergeCells>
  <conditionalFormatting sqref="C25:AG26">
    <cfRule type="cellIs" dxfId="1" priority="1" operator="notEqual">
      <formula>0</formula>
    </cfRule>
  </conditionalFormatting>
  <conditionalFormatting sqref="C25:AG26">
    <cfRule type="cellIs" dxfId="0" priority="2" operator="notEqual">
      <formula>0</formula>
    </cfRule>
  </conditionalFormatting>
  <pageMargins left="0.25" right="0.25" top="0.75" bottom="0.75" header="0.3" footer="0.3"/>
  <pageSetup paperSize="17" scale="62" fitToHeight="4" orientation="landscape" verticalDpi="300" r:id="rId1"/>
  <headerFooter>
    <oddFooter>&amp;L&amp;8&amp;Z&amp;F&amp;R&amp;8&amp;A</oddFooter>
  </headerFooter>
  <ignoredErrors>
    <ignoredError sqref="AG37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L26" sqref="L2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5" t="s">
        <v>120</v>
      </c>
      <c r="B1" s="253" t="str">
        <f>CONCATENATE('Cash Flow'!C1, "  ",'Cash Flow'!D1)</f>
        <v>April  2022</v>
      </c>
    </row>
    <row r="2" spans="1:5" ht="15.75" thickBot="1" x14ac:dyDescent="0.3"/>
    <row r="3" spans="1:5" x14ac:dyDescent="0.25">
      <c r="A3" s="249" t="s">
        <v>61</v>
      </c>
      <c r="B3" s="250" t="s">
        <v>102</v>
      </c>
      <c r="C3" s="128">
        <f>'Box Canon'!AH3+'Box Canon'!AH9</f>
        <v>30.29</v>
      </c>
      <c r="D3" s="116"/>
    </row>
    <row r="4" spans="1:5" x14ac:dyDescent="0.25">
      <c r="A4" s="251" t="s">
        <v>70</v>
      </c>
      <c r="B4" s="252" t="s">
        <v>71</v>
      </c>
      <c r="C4" s="131">
        <f>'Box Canon'!AH4+'Box Canon'!AH10</f>
        <v>1294</v>
      </c>
      <c r="D4" s="116"/>
    </row>
    <row r="5" spans="1:5" x14ac:dyDescent="0.25">
      <c r="A5" s="251" t="s">
        <v>81</v>
      </c>
      <c r="B5" s="252" t="s">
        <v>103</v>
      </c>
      <c r="C5" s="131">
        <f>'Box Canon'!AH5+'Box Canon'!AH11</f>
        <v>0</v>
      </c>
      <c r="D5" s="116"/>
    </row>
    <row r="6" spans="1:5" x14ac:dyDescent="0.25">
      <c r="A6" s="251" t="s">
        <v>80</v>
      </c>
      <c r="B6" s="252" t="s">
        <v>104</v>
      </c>
      <c r="C6" s="131">
        <f>'Box Canon'!AH6+'Box Canon'!AH12</f>
        <v>265.77999999999997</v>
      </c>
      <c r="D6" s="116"/>
    </row>
    <row r="7" spans="1:5" x14ac:dyDescent="0.25">
      <c r="A7" s="251" t="s">
        <v>80</v>
      </c>
      <c r="B7" s="252" t="s">
        <v>82</v>
      </c>
      <c r="C7" s="131">
        <f>'Box Canon'!AH7+'Box Canon'!AH13</f>
        <v>1.6</v>
      </c>
      <c r="D7" s="116"/>
    </row>
    <row r="8" spans="1:5" x14ac:dyDescent="0.25">
      <c r="A8" s="251"/>
      <c r="B8" s="252"/>
      <c r="C8" s="131"/>
      <c r="D8" s="116"/>
    </row>
    <row r="9" spans="1:5" x14ac:dyDescent="0.25">
      <c r="A9" s="129" t="s">
        <v>85</v>
      </c>
      <c r="B9" s="130" t="s">
        <v>98</v>
      </c>
      <c r="C9" s="131">
        <f>-('Box Canon'!AH25+'Box Canon'!AH26)</f>
        <v>25.330000000000041</v>
      </c>
      <c r="D9" s="116"/>
    </row>
    <row r="10" spans="1:5" ht="15.75" thickBot="1" x14ac:dyDescent="0.3">
      <c r="A10" s="179"/>
      <c r="B10" s="180"/>
      <c r="C10" s="181"/>
      <c r="D10" s="253"/>
      <c r="E10" s="167"/>
    </row>
    <row r="11" spans="1:5" x14ac:dyDescent="0.25">
      <c r="A11" s="116"/>
      <c r="B11" s="247" t="s">
        <v>65</v>
      </c>
      <c r="C11" s="204"/>
      <c r="D11" s="248">
        <f>SUM(C3:C9)</f>
        <v>1617</v>
      </c>
    </row>
    <row r="12" spans="1:5" ht="15.75" thickBot="1" x14ac:dyDescent="0.3">
      <c r="C12" s="153"/>
    </row>
    <row r="13" spans="1:5" x14ac:dyDescent="0.25">
      <c r="A13" s="126" t="s">
        <v>60</v>
      </c>
      <c r="B13" s="127" t="s">
        <v>94</v>
      </c>
      <c r="C13" s="128">
        <f>'Box Canon'!AL20</f>
        <v>0</v>
      </c>
    </row>
    <row r="14" spans="1:5" x14ac:dyDescent="0.25">
      <c r="A14" s="129" t="s">
        <v>60</v>
      </c>
      <c r="B14" s="130" t="s">
        <v>96</v>
      </c>
      <c r="C14" s="131">
        <f>'Box Canon'!AM20</f>
        <v>700.73</v>
      </c>
    </row>
    <row r="15" spans="1:5" x14ac:dyDescent="0.25">
      <c r="A15" s="129" t="s">
        <v>60</v>
      </c>
      <c r="B15" s="130" t="s">
        <v>95</v>
      </c>
      <c r="C15" s="131">
        <f>'Box Canon'!AL21</f>
        <v>0</v>
      </c>
      <c r="E15" s="254">
        <f>D11-D20</f>
        <v>0</v>
      </c>
    </row>
    <row r="16" spans="1:5" x14ac:dyDescent="0.25">
      <c r="A16" s="129" t="s">
        <v>60</v>
      </c>
      <c r="B16" s="130" t="s">
        <v>97</v>
      </c>
      <c r="C16" s="131">
        <f>'Box Canon'!AM21</f>
        <v>888.49</v>
      </c>
    </row>
    <row r="17" spans="1:4" x14ac:dyDescent="0.25">
      <c r="A17" s="129" t="s">
        <v>216</v>
      </c>
      <c r="B17" s="130" t="s">
        <v>219</v>
      </c>
      <c r="C17" s="131">
        <f>'Box Canon'!AL28</f>
        <v>0</v>
      </c>
    </row>
    <row r="18" spans="1:4" x14ac:dyDescent="0.25">
      <c r="A18" s="129" t="s">
        <v>216</v>
      </c>
      <c r="B18" s="130" t="s">
        <v>220</v>
      </c>
      <c r="C18" s="131">
        <f>'Box Canon'!AM28</f>
        <v>27.78</v>
      </c>
    </row>
    <row r="19" spans="1:4" ht="15.75" thickBot="1" x14ac:dyDescent="0.3">
      <c r="A19" s="179"/>
      <c r="B19" s="180"/>
      <c r="C19" s="181"/>
      <c r="D19" s="167"/>
    </row>
    <row r="20" spans="1:4" x14ac:dyDescent="0.25">
      <c r="B20" s="247" t="s">
        <v>66</v>
      </c>
      <c r="C20" s="204"/>
      <c r="D20" s="248">
        <f>SUM(C13:C18)</f>
        <v>1617</v>
      </c>
    </row>
    <row r="21" spans="1:4" ht="15.75" thickBot="1" x14ac:dyDescent="0.3"/>
    <row r="22" spans="1:4" x14ac:dyDescent="0.25">
      <c r="B22" s="483" t="s">
        <v>57</v>
      </c>
      <c r="C22" s="484"/>
    </row>
    <row r="23" spans="1:4" x14ac:dyDescent="0.25">
      <c r="B23" s="140" t="s">
        <v>76</v>
      </c>
      <c r="C23" s="142">
        <f>'Box Canon'!AJ31</f>
        <v>210</v>
      </c>
    </row>
    <row r="24" spans="1:4" x14ac:dyDescent="0.25">
      <c r="B24" s="140" t="s">
        <v>75</v>
      </c>
      <c r="C24" s="142">
        <f>'Box Canon'!AJ32</f>
        <v>35</v>
      </c>
    </row>
    <row r="25" spans="1:4" x14ac:dyDescent="0.25">
      <c r="B25" s="140" t="s">
        <v>217</v>
      </c>
      <c r="C25" s="142">
        <f>'Box Canon'!AJ33</f>
        <v>3</v>
      </c>
    </row>
    <row r="26" spans="1:4" x14ac:dyDescent="0.25">
      <c r="B26" s="140" t="s">
        <v>73</v>
      </c>
      <c r="C26" s="142">
        <f>'Box Canon'!AJ34</f>
        <v>0</v>
      </c>
    </row>
    <row r="27" spans="1:4" x14ac:dyDescent="0.25">
      <c r="B27" s="140" t="s">
        <v>74</v>
      </c>
      <c r="C27" s="142">
        <f>'Box Canon'!AJ35</f>
        <v>35</v>
      </c>
    </row>
    <row r="28" spans="1:4" x14ac:dyDescent="0.25">
      <c r="B28" s="140" t="s">
        <v>72</v>
      </c>
      <c r="C28" s="142">
        <f>'Box Canon'!AJ36</f>
        <v>7</v>
      </c>
    </row>
    <row r="29" spans="1:4" x14ac:dyDescent="0.25">
      <c r="B29" s="129"/>
      <c r="C29" s="244"/>
    </row>
    <row r="30" spans="1:4" ht="15.75" thickBot="1" x14ac:dyDescent="0.3">
      <c r="B30" s="245" t="s">
        <v>77</v>
      </c>
      <c r="C30" s="246">
        <f>SUM(C23:C28)</f>
        <v>290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2:C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opLeftCell="A10" workbookViewId="0">
      <selection activeCell="I25" sqref="I25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3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78" customFormat="1" ht="13.5" customHeight="1" x14ac:dyDescent="0.25">
      <c r="A1" s="234" t="s">
        <v>119</v>
      </c>
      <c r="B1" s="176" t="str">
        <f>CONCATENATE('Cash Flow'!C1, "  ",'Cash Flow'!D1)</f>
        <v>April  2022</v>
      </c>
      <c r="C1" s="177"/>
    </row>
    <row r="2" spans="1:6" s="178" customFormat="1" ht="5.0999999999999996" customHeight="1" thickBot="1" x14ac:dyDescent="0.3">
      <c r="A2" s="234"/>
      <c r="B2" s="176"/>
      <c r="C2" s="177"/>
    </row>
    <row r="3" spans="1:6" s="178" customFormat="1" ht="14.1" customHeight="1" thickBot="1" x14ac:dyDescent="0.3">
      <c r="A3" s="486" t="s">
        <v>189</v>
      </c>
      <c r="B3" s="487"/>
      <c r="C3" s="488"/>
    </row>
    <row r="4" spans="1:6" s="178" customFormat="1" ht="24" customHeight="1" x14ac:dyDescent="0.25">
      <c r="A4" s="89" t="s">
        <v>30</v>
      </c>
      <c r="B4" s="84" t="s">
        <v>31</v>
      </c>
      <c r="C4" s="183">
        <f>Pool!AH4+(C13/2)+Pool!AH7+Pool!AH5</f>
        <v>53773.599999999999</v>
      </c>
      <c r="D4" s="492" t="s">
        <v>180</v>
      </c>
      <c r="E4" s="493"/>
      <c r="F4" s="493"/>
    </row>
    <row r="5" spans="1:6" ht="14.1" customHeight="1" x14ac:dyDescent="0.25">
      <c r="A5" s="90" t="s">
        <v>181</v>
      </c>
      <c r="B5" s="91" t="s">
        <v>63</v>
      </c>
      <c r="C5" s="184">
        <f>Pool!AH64</f>
        <v>0</v>
      </c>
      <c r="D5" s="491"/>
      <c r="E5" s="485"/>
      <c r="F5" s="485"/>
    </row>
    <row r="6" spans="1:6" ht="14.1" customHeight="1" x14ac:dyDescent="0.25">
      <c r="A6" s="90" t="s">
        <v>157</v>
      </c>
      <c r="B6" s="91" t="s">
        <v>200</v>
      </c>
      <c r="C6" s="184">
        <f>Pool!AH8</f>
        <v>91864</v>
      </c>
      <c r="D6" s="494" t="s">
        <v>203</v>
      </c>
      <c r="E6" s="495"/>
      <c r="F6" s="495"/>
    </row>
    <row r="7" spans="1:6" ht="14.1" customHeight="1" x14ac:dyDescent="0.25">
      <c r="A7" s="90" t="s">
        <v>162</v>
      </c>
      <c r="B7" s="91" t="s">
        <v>163</v>
      </c>
      <c r="C7" s="184">
        <f>Pool!AH9</f>
        <v>0</v>
      </c>
      <c r="D7" s="491"/>
      <c r="E7" s="485"/>
      <c r="F7" s="485"/>
    </row>
    <row r="8" spans="1:6" ht="14.1" customHeight="1" x14ac:dyDescent="0.25">
      <c r="A8" s="90" t="s">
        <v>164</v>
      </c>
      <c r="B8" s="91" t="s">
        <v>174</v>
      </c>
      <c r="C8" s="184">
        <f>Pool!AH10</f>
        <v>0</v>
      </c>
      <c r="D8" s="491"/>
      <c r="E8" s="485"/>
      <c r="F8" s="485"/>
    </row>
    <row r="9" spans="1:6" ht="14.1" customHeight="1" x14ac:dyDescent="0.25">
      <c r="A9" s="90" t="s">
        <v>34</v>
      </c>
      <c r="B9" s="91" t="s">
        <v>35</v>
      </c>
      <c r="C9" s="184">
        <f>Pool!AH14</f>
        <v>464</v>
      </c>
      <c r="D9" s="491"/>
      <c r="E9" s="485"/>
      <c r="F9" s="485"/>
    </row>
    <row r="10" spans="1:6" ht="14.1" customHeight="1" x14ac:dyDescent="0.25">
      <c r="A10" s="90" t="s">
        <v>36</v>
      </c>
      <c r="B10" s="91" t="s">
        <v>37</v>
      </c>
      <c r="C10" s="184">
        <f>Pool!AH15</f>
        <v>4053.88</v>
      </c>
      <c r="D10" s="491"/>
      <c r="E10" s="485"/>
      <c r="F10" s="485"/>
    </row>
    <row r="11" spans="1:6" ht="14.1" customHeight="1" x14ac:dyDescent="0.25">
      <c r="A11" s="90" t="s">
        <v>206</v>
      </c>
      <c r="B11" s="91" t="s">
        <v>114</v>
      </c>
      <c r="C11" s="184">
        <f>Pool!AH16</f>
        <v>0</v>
      </c>
      <c r="D11" s="491"/>
      <c r="E11" s="485"/>
      <c r="F11" s="485"/>
    </row>
    <row r="12" spans="1:6" ht="14.1" customHeight="1" x14ac:dyDescent="0.25">
      <c r="A12" s="90" t="s">
        <v>78</v>
      </c>
      <c r="B12" s="91" t="s">
        <v>201</v>
      </c>
      <c r="C12" s="184">
        <f>Pool!AH17+(C13/2)</f>
        <v>1478</v>
      </c>
      <c r="D12" s="491" t="s">
        <v>204</v>
      </c>
      <c r="E12" s="485"/>
      <c r="F12" s="485"/>
    </row>
    <row r="13" spans="1:6" ht="14.1" customHeight="1" x14ac:dyDescent="0.25">
      <c r="A13" s="90"/>
      <c r="B13" s="91" t="s">
        <v>106</v>
      </c>
      <c r="C13" s="206">
        <f>Pool!AH18</f>
        <v>0</v>
      </c>
      <c r="D13" s="491" t="s">
        <v>173</v>
      </c>
      <c r="E13" s="485"/>
      <c r="F13" s="485"/>
    </row>
    <row r="14" spans="1:6" ht="14.1" customHeight="1" x14ac:dyDescent="0.25">
      <c r="A14" s="90" t="s">
        <v>38</v>
      </c>
      <c r="B14" s="91" t="s">
        <v>39</v>
      </c>
      <c r="C14" s="184">
        <f>Pool!AH19</f>
        <v>0</v>
      </c>
      <c r="D14" s="491"/>
      <c r="E14" s="485"/>
      <c r="F14" s="485"/>
    </row>
    <row r="15" spans="1:6" ht="14.1" customHeight="1" x14ac:dyDescent="0.25">
      <c r="A15" s="90" t="s">
        <v>40</v>
      </c>
      <c r="B15" s="91" t="s">
        <v>41</v>
      </c>
      <c r="C15" s="184">
        <f>Pool!AH21</f>
        <v>0</v>
      </c>
      <c r="D15" s="491"/>
      <c r="E15" s="485"/>
      <c r="F15" s="485"/>
    </row>
    <row r="16" spans="1:6" ht="14.1" customHeight="1" x14ac:dyDescent="0.25">
      <c r="A16" s="90" t="s">
        <v>166</v>
      </c>
      <c r="B16" s="91" t="s">
        <v>167</v>
      </c>
      <c r="C16" s="184">
        <f>Pool!AH20</f>
        <v>0</v>
      </c>
      <c r="D16" s="491"/>
      <c r="E16" s="485"/>
      <c r="F16" s="485"/>
    </row>
    <row r="17" spans="1:7" ht="14.1" customHeight="1" x14ac:dyDescent="0.25">
      <c r="A17" s="90" t="s">
        <v>42</v>
      </c>
      <c r="B17" s="91" t="s">
        <v>43</v>
      </c>
      <c r="C17" s="184">
        <f>Pool!AH22</f>
        <v>0</v>
      </c>
      <c r="D17" s="491"/>
      <c r="E17" s="485"/>
      <c r="F17" s="485"/>
    </row>
    <row r="18" spans="1:7" ht="14.1" hidden="1" customHeight="1" x14ac:dyDescent="0.25">
      <c r="A18" s="90" t="s">
        <v>44</v>
      </c>
      <c r="B18" s="91" t="s">
        <v>45</v>
      </c>
      <c r="C18" s="184">
        <f>Pool!AH23</f>
        <v>0</v>
      </c>
      <c r="D18" s="491"/>
      <c r="E18" s="485"/>
      <c r="F18" s="485"/>
    </row>
    <row r="19" spans="1:7" ht="14.1" hidden="1" customHeight="1" x14ac:dyDescent="0.25">
      <c r="A19" s="90" t="s">
        <v>46</v>
      </c>
      <c r="B19" s="91" t="s">
        <v>47</v>
      </c>
      <c r="C19" s="184">
        <f>Pool!AH24</f>
        <v>0</v>
      </c>
      <c r="D19" s="491"/>
      <c r="E19" s="485"/>
      <c r="F19" s="485"/>
    </row>
    <row r="20" spans="1:7" ht="14.1" hidden="1" customHeight="1" x14ac:dyDescent="0.25">
      <c r="A20" s="90" t="s">
        <v>48</v>
      </c>
      <c r="B20" s="91" t="s">
        <v>49</v>
      </c>
      <c r="C20" s="184">
        <f>Pool!AH25</f>
        <v>0</v>
      </c>
      <c r="D20" s="491"/>
      <c r="E20" s="485"/>
      <c r="F20" s="485"/>
    </row>
    <row r="21" spans="1:7" ht="14.1" customHeight="1" x14ac:dyDescent="0.25">
      <c r="A21" s="90" t="s">
        <v>50</v>
      </c>
      <c r="B21" s="91" t="s">
        <v>51</v>
      </c>
      <c r="C21" s="184">
        <f>Pool!AH26</f>
        <v>0</v>
      </c>
      <c r="D21" s="491"/>
      <c r="E21" s="485"/>
      <c r="F21" s="485"/>
    </row>
    <row r="22" spans="1:7" ht="14.1" customHeight="1" thickBot="1" x14ac:dyDescent="0.3">
      <c r="A22" s="81" t="s">
        <v>52</v>
      </c>
      <c r="B22" s="94" t="s">
        <v>53</v>
      </c>
      <c r="C22" s="185">
        <f>Pool!AH27</f>
        <v>0</v>
      </c>
      <c r="D22" s="491"/>
      <c r="E22" s="485"/>
      <c r="F22" s="485"/>
    </row>
    <row r="23" spans="1:7" ht="14.1" customHeight="1" x14ac:dyDescent="0.25">
      <c r="A23" s="187"/>
      <c r="B23" s="205" t="s">
        <v>65</v>
      </c>
      <c r="C23" s="186">
        <f>C4+C5+C6+C7+C8+C9+C10+C11+C12+C16</f>
        <v>151633.48000000001</v>
      </c>
      <c r="D23" s="491" t="s">
        <v>177</v>
      </c>
      <c r="E23" s="485"/>
      <c r="F23" s="485"/>
    </row>
    <row r="24" spans="1:7" ht="5.0999999999999996" customHeight="1" thickBot="1" x14ac:dyDescent="0.3">
      <c r="A24" s="116"/>
      <c r="B24" s="116"/>
      <c r="C24" s="116"/>
      <c r="F24" s="209"/>
      <c r="G24" s="209"/>
    </row>
    <row r="25" spans="1:7" ht="14.1" customHeight="1" thickBot="1" x14ac:dyDescent="0.3">
      <c r="A25" s="486" t="s">
        <v>182</v>
      </c>
      <c r="B25" s="487"/>
      <c r="C25" s="488"/>
    </row>
    <row r="26" spans="1:7" ht="14.1" customHeight="1" x14ac:dyDescent="0.25">
      <c r="A26" s="126" t="s">
        <v>61</v>
      </c>
      <c r="B26" s="398" t="s">
        <v>62</v>
      </c>
      <c r="C26" s="399">
        <f>Pool!AH3</f>
        <v>394.59999999999997</v>
      </c>
      <c r="D26" s="491"/>
      <c r="E26" s="485"/>
      <c r="F26" s="485"/>
    </row>
    <row r="27" spans="1:7" ht="14.1" customHeight="1" x14ac:dyDescent="0.25">
      <c r="A27" s="129" t="s">
        <v>158</v>
      </c>
      <c r="B27" s="400" t="s">
        <v>159</v>
      </c>
      <c r="C27" s="402">
        <f>Pool!AH11</f>
        <v>80</v>
      </c>
      <c r="D27" s="491" t="s">
        <v>187</v>
      </c>
      <c r="E27" s="485"/>
      <c r="F27" s="485"/>
    </row>
    <row r="28" spans="1:7" ht="14.1" customHeight="1" x14ac:dyDescent="0.25">
      <c r="A28" s="129" t="s">
        <v>169</v>
      </c>
      <c r="B28" s="400" t="s">
        <v>170</v>
      </c>
      <c r="C28" s="402">
        <f>Pool!AH12</f>
        <v>0</v>
      </c>
      <c r="D28" s="491" t="s">
        <v>175</v>
      </c>
      <c r="E28" s="485"/>
      <c r="F28" s="485"/>
    </row>
    <row r="29" spans="1:7" ht="14.1" customHeight="1" x14ac:dyDescent="0.25">
      <c r="A29" s="129" t="s">
        <v>171</v>
      </c>
      <c r="B29" s="400" t="s">
        <v>172</v>
      </c>
      <c r="C29" s="402">
        <f>Pool!AH13</f>
        <v>0</v>
      </c>
      <c r="D29" s="491" t="s">
        <v>176</v>
      </c>
      <c r="E29" s="485"/>
      <c r="F29" s="485"/>
    </row>
    <row r="30" spans="1:7" ht="14.1" customHeight="1" thickBot="1" x14ac:dyDescent="0.3">
      <c r="A30" s="135" t="s">
        <v>112</v>
      </c>
      <c r="B30" s="401" t="s">
        <v>87</v>
      </c>
      <c r="C30" s="403">
        <f>Pool!AH28</f>
        <v>36</v>
      </c>
      <c r="D30" s="491" t="s">
        <v>183</v>
      </c>
      <c r="E30" s="485"/>
      <c r="F30" s="485"/>
    </row>
    <row r="31" spans="1:7" ht="14.1" customHeight="1" x14ac:dyDescent="0.25">
      <c r="A31" s="116"/>
      <c r="B31" s="404" t="s">
        <v>184</v>
      </c>
      <c r="C31" s="405">
        <f>SUM(C26:C30)</f>
        <v>510.59999999999997</v>
      </c>
      <c r="F31" s="209"/>
    </row>
    <row r="32" spans="1:7" ht="5.0999999999999996" customHeight="1" x14ac:dyDescent="0.25">
      <c r="A32" s="116"/>
      <c r="B32" s="406"/>
      <c r="C32" s="405"/>
      <c r="F32" s="209"/>
    </row>
    <row r="33" spans="1:6" ht="14.1" customHeight="1" x14ac:dyDescent="0.25">
      <c r="A33" s="116"/>
      <c r="B33" s="407" t="s">
        <v>185</v>
      </c>
      <c r="C33" s="408">
        <f>C31+C23</f>
        <v>152144.08000000002</v>
      </c>
      <c r="D33" s="485" t="s">
        <v>186</v>
      </c>
      <c r="E33" s="485"/>
      <c r="F33" s="485"/>
    </row>
    <row r="34" spans="1:6" ht="5.0999999999999996" customHeight="1" thickBot="1" x14ac:dyDescent="0.3">
      <c r="A34" s="116"/>
      <c r="B34" s="116"/>
      <c r="C34" s="116"/>
    </row>
    <row r="35" spans="1:6" ht="14.1" customHeight="1" thickBot="1" x14ac:dyDescent="0.3">
      <c r="A35" s="486" t="s">
        <v>188</v>
      </c>
      <c r="B35" s="487"/>
      <c r="C35" s="488"/>
    </row>
    <row r="36" spans="1:6" ht="14.1" customHeight="1" x14ac:dyDescent="0.25">
      <c r="A36" s="126" t="s">
        <v>60</v>
      </c>
      <c r="B36" s="127" t="s">
        <v>88</v>
      </c>
      <c r="C36" s="154">
        <f>Pool!AL33</f>
        <v>12865.44</v>
      </c>
    </row>
    <row r="37" spans="1:6" ht="14.1" customHeight="1" x14ac:dyDescent="0.25">
      <c r="A37" s="129" t="s">
        <v>60</v>
      </c>
      <c r="B37" s="130" t="s">
        <v>90</v>
      </c>
      <c r="C37" s="155">
        <f>Pool!AM33</f>
        <v>65643.77</v>
      </c>
    </row>
    <row r="38" spans="1:6" ht="14.1" customHeight="1" x14ac:dyDescent="0.25">
      <c r="A38" s="129" t="s">
        <v>60</v>
      </c>
      <c r="B38" s="130" t="s">
        <v>89</v>
      </c>
      <c r="C38" s="155">
        <f>Pool!AL34</f>
        <v>42012.81</v>
      </c>
    </row>
    <row r="39" spans="1:6" ht="14.1" customHeight="1" x14ac:dyDescent="0.25">
      <c r="A39" s="129" t="s">
        <v>60</v>
      </c>
      <c r="B39" s="130" t="s">
        <v>91</v>
      </c>
      <c r="C39" s="155">
        <f>Pool!AM34</f>
        <v>13709.73</v>
      </c>
      <c r="D39" s="265"/>
      <c r="E39" s="209"/>
    </row>
    <row r="40" spans="1:6" ht="14.1" customHeight="1" x14ac:dyDescent="0.25">
      <c r="A40" s="129" t="s">
        <v>60</v>
      </c>
      <c r="B40" s="130" t="s">
        <v>115</v>
      </c>
      <c r="C40" s="155">
        <f>Pool!AL35</f>
        <v>0</v>
      </c>
      <c r="D40" s="266"/>
      <c r="E40" s="209"/>
    </row>
    <row r="41" spans="1:6" ht="14.1" customHeight="1" x14ac:dyDescent="0.25">
      <c r="A41" s="129" t="s">
        <v>60</v>
      </c>
      <c r="B41" s="130" t="s">
        <v>116</v>
      </c>
      <c r="C41" s="155">
        <f>Pool!AM35</f>
        <v>0</v>
      </c>
      <c r="E41" s="209"/>
    </row>
    <row r="42" spans="1:6" ht="14.1" customHeight="1" x14ac:dyDescent="0.25">
      <c r="A42" s="129" t="s">
        <v>208</v>
      </c>
      <c r="B42" s="130" t="s">
        <v>210</v>
      </c>
      <c r="C42" s="155">
        <f>Pool!AL45</f>
        <v>1361.12</v>
      </c>
      <c r="E42" s="209"/>
    </row>
    <row r="43" spans="1:6" ht="14.1" customHeight="1" x14ac:dyDescent="0.25">
      <c r="A43" s="129" t="s">
        <v>208</v>
      </c>
      <c r="B43" s="130" t="s">
        <v>211</v>
      </c>
      <c r="C43" s="155">
        <f>Pool!AM45</f>
        <v>425.84000000000003</v>
      </c>
      <c r="E43" s="209"/>
    </row>
    <row r="44" spans="1:6" ht="14.1" hidden="1" customHeight="1" x14ac:dyDescent="0.25">
      <c r="A44" s="129" t="s">
        <v>60</v>
      </c>
      <c r="B44" s="130" t="s">
        <v>117</v>
      </c>
      <c r="C44" s="155">
        <f>Pool!AL36</f>
        <v>0</v>
      </c>
      <c r="E44" s="209"/>
    </row>
    <row r="45" spans="1:6" ht="14.1" hidden="1" customHeight="1" x14ac:dyDescent="0.25">
      <c r="A45" s="129" t="s">
        <v>60</v>
      </c>
      <c r="B45" s="130" t="s">
        <v>118</v>
      </c>
      <c r="C45" s="155">
        <f>Pool!AM36</f>
        <v>0</v>
      </c>
      <c r="E45" s="209"/>
    </row>
    <row r="46" spans="1:6" ht="14.1" customHeight="1" x14ac:dyDescent="0.25">
      <c r="A46" s="129" t="s">
        <v>32</v>
      </c>
      <c r="B46" s="130" t="s">
        <v>92</v>
      </c>
      <c r="C46" s="155">
        <f>Pool!AL43</f>
        <v>24.369999999992615</v>
      </c>
      <c r="D46" s="489"/>
      <c r="E46" s="490"/>
      <c r="F46" s="490"/>
    </row>
    <row r="47" spans="1:6" ht="14.1" customHeight="1" x14ac:dyDescent="0.25">
      <c r="A47" s="361" t="s">
        <v>68</v>
      </c>
      <c r="B47" s="362" t="s">
        <v>93</v>
      </c>
      <c r="C47" s="383">
        <f>Pool!AL37</f>
        <v>15960</v>
      </c>
    </row>
    <row r="48" spans="1:6" ht="14.1" customHeight="1" thickBot="1" x14ac:dyDescent="0.3">
      <c r="A48" s="135" t="s">
        <v>112</v>
      </c>
      <c r="B48" s="136" t="s">
        <v>179</v>
      </c>
      <c r="C48" s="156">
        <f>Pool!AL38</f>
        <v>141</v>
      </c>
    </row>
    <row r="49" spans="1:5" ht="12.75" customHeight="1" x14ac:dyDescent="0.25">
      <c r="A49" s="203"/>
      <c r="B49" s="207" t="s">
        <v>66</v>
      </c>
      <c r="C49" s="208">
        <f>SUM(C36:C48)</f>
        <v>152144.07999999999</v>
      </c>
    </row>
    <row r="50" spans="1:5" ht="5.0999999999999996" customHeight="1" thickBot="1" x14ac:dyDescent="0.3">
      <c r="D50" s="208"/>
      <c r="E50" s="209"/>
    </row>
    <row r="51" spans="1:5" ht="14.1" customHeight="1" x14ac:dyDescent="0.25">
      <c r="B51" s="126" t="s">
        <v>57</v>
      </c>
      <c r="C51" s="235">
        <f>Pool!AJ47</f>
        <v>4109</v>
      </c>
    </row>
    <row r="52" spans="1:5" ht="14.1" customHeight="1" x14ac:dyDescent="0.25">
      <c r="B52" s="129" t="s">
        <v>58</v>
      </c>
      <c r="C52" s="236">
        <f>Pool!AJ48</f>
        <v>1140</v>
      </c>
    </row>
    <row r="53" spans="1:5" ht="14.1" customHeight="1" thickBot="1" x14ac:dyDescent="0.3">
      <c r="B53" s="237" t="s">
        <v>109</v>
      </c>
      <c r="C53" s="238">
        <f>C51+C52</f>
        <v>5249</v>
      </c>
    </row>
    <row r="54" spans="1:5" ht="5.0999999999999996" customHeight="1" thickBot="1" x14ac:dyDescent="0.3"/>
    <row r="55" spans="1:5" ht="14.1" customHeight="1" thickBot="1" x14ac:dyDescent="0.3">
      <c r="B55" s="239" t="s">
        <v>121</v>
      </c>
      <c r="C55" s="240">
        <f>Pool!AJ54</f>
        <v>13.095426712393206</v>
      </c>
    </row>
    <row r="56" spans="1:5" ht="5.0999999999999996" customHeight="1" thickBot="1" x14ac:dyDescent="0.3"/>
    <row r="57" spans="1:5" ht="14.1" customHeight="1" thickBot="1" x14ac:dyDescent="0.3">
      <c r="A57" s="263"/>
      <c r="B57" s="299" t="s">
        <v>133</v>
      </c>
      <c r="C57" s="300" t="s">
        <v>144</v>
      </c>
    </row>
    <row r="58" spans="1:5" ht="14.1" customHeight="1" x14ac:dyDescent="0.25">
      <c r="B58" s="83" t="s">
        <v>138</v>
      </c>
      <c r="C58" s="311">
        <f>Pool!AJ57</f>
        <v>0</v>
      </c>
    </row>
    <row r="59" spans="1:5" ht="14.1" customHeight="1" x14ac:dyDescent="0.25">
      <c r="A59" s="263"/>
      <c r="B59" s="312" t="s">
        <v>139</v>
      </c>
      <c r="C59" s="313">
        <f>Pool!AJ58</f>
        <v>0</v>
      </c>
    </row>
    <row r="60" spans="1:5" ht="14.1" customHeight="1" x14ac:dyDescent="0.25">
      <c r="B60" s="312" t="s">
        <v>141</v>
      </c>
      <c r="C60" s="313">
        <f>Pool!AJ59</f>
        <v>0</v>
      </c>
    </row>
    <row r="61" spans="1:5" ht="14.1" customHeight="1" thickBot="1" x14ac:dyDescent="0.3">
      <c r="B61" s="314" t="s">
        <v>145</v>
      </c>
      <c r="C61" s="315">
        <f>Pool!AJ60</f>
        <v>0</v>
      </c>
    </row>
    <row r="62" spans="1:5" x14ac:dyDescent="0.25">
      <c r="A62" s="379"/>
      <c r="B62" s="379"/>
      <c r="C62" s="379"/>
      <c r="E62" s="379"/>
    </row>
    <row r="63" spans="1:5" x14ac:dyDescent="0.25">
      <c r="D63" s="379"/>
    </row>
  </sheetData>
  <sheetProtection formatCells="0" formatColumns="0" formatRows="0" insertColumns="0" insertRows="0" insertHyperlinks="0" deleteColumns="0" deleteRows="0" sort="0" autoFilter="0" pivotTables="0"/>
  <mergeCells count="30">
    <mergeCell ref="D4:F4"/>
    <mergeCell ref="D6:F6"/>
    <mergeCell ref="D13:F13"/>
    <mergeCell ref="D12:F12"/>
    <mergeCell ref="D8:F8"/>
    <mergeCell ref="D7:F7"/>
    <mergeCell ref="D5:F5"/>
    <mergeCell ref="D20:F20"/>
    <mergeCell ref="D21:F21"/>
    <mergeCell ref="D9:F9"/>
    <mergeCell ref="D10:F10"/>
    <mergeCell ref="D11:F11"/>
    <mergeCell ref="D14:F14"/>
    <mergeCell ref="D15:F15"/>
    <mergeCell ref="D33:F33"/>
    <mergeCell ref="A35:C35"/>
    <mergeCell ref="A3:C3"/>
    <mergeCell ref="D46:F46"/>
    <mergeCell ref="A25:C25"/>
    <mergeCell ref="D30:F30"/>
    <mergeCell ref="D26:F26"/>
    <mergeCell ref="D27:F27"/>
    <mergeCell ref="D28:F28"/>
    <mergeCell ref="D29:F29"/>
    <mergeCell ref="D22:F22"/>
    <mergeCell ref="D23:F23"/>
    <mergeCell ref="D16:F16"/>
    <mergeCell ref="D17:F17"/>
    <mergeCell ref="D18:F18"/>
    <mergeCell ref="D19:F19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Cash Flow</vt:lpstr>
      <vt:lpstr>Pool</vt:lpstr>
      <vt:lpstr>Pool Stats</vt:lpstr>
      <vt:lpstr>Box Canon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2022-06-10T21:25:15Z</cp:lastPrinted>
  <dcterms:created xsi:type="dcterms:W3CDTF">2017-08-14T15:26:56Z</dcterms:created>
  <dcterms:modified xsi:type="dcterms:W3CDTF">2022-06-10T21:25:17Z</dcterms:modified>
</cp:coreProperties>
</file>