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7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3" l="1"/>
  <c r="AM33" i="3" l="1"/>
  <c r="AL20" i="9" l="1"/>
  <c r="AH22" i="9"/>
  <c r="AL21" i="9"/>
  <c r="AM13" i="10" l="1"/>
  <c r="AL13" i="10"/>
  <c r="AL8" i="10" s="1"/>
  <c r="AM8" i="10"/>
  <c r="AF44" i="9"/>
  <c r="AF43" i="9"/>
  <c r="AF40" i="9"/>
  <c r="AF39" i="9"/>
  <c r="AE44" i="9"/>
  <c r="AE43" i="9"/>
  <c r="AE41" i="9"/>
  <c r="AE40" i="9"/>
  <c r="AE39" i="9"/>
  <c r="AL33" i="3"/>
  <c r="AM20" i="9" l="1"/>
  <c r="AM21" i="9"/>
  <c r="AM29" i="9"/>
  <c r="AL29" i="9"/>
  <c r="AM45" i="3"/>
  <c r="AM34" i="3" s="1"/>
  <c r="AL45" i="3"/>
  <c r="AL34" i="3" s="1"/>
  <c r="AD44" i="9" l="1"/>
  <c r="AD43" i="9"/>
  <c r="AD41" i="9"/>
  <c r="AD40" i="9"/>
  <c r="AD39" i="9"/>
  <c r="AC44" i="9"/>
  <c r="AC43" i="9"/>
  <c r="AC41" i="9"/>
  <c r="AC40" i="9"/>
  <c r="AC39" i="9"/>
  <c r="AC10" i="9"/>
  <c r="AB42" i="9" l="1"/>
  <c r="AA43" i="9"/>
  <c r="AB44" i="9"/>
  <c r="AB43" i="9"/>
  <c r="AB41" i="9"/>
  <c r="AB40" i="9"/>
  <c r="AB39" i="9"/>
  <c r="AB10" i="9"/>
  <c r="AA44" i="9"/>
  <c r="AA41" i="9"/>
  <c r="AA40" i="9"/>
  <c r="AA39" i="9"/>
  <c r="Z44" i="9"/>
  <c r="Z43" i="9"/>
  <c r="Z41" i="9"/>
  <c r="Z40" i="9"/>
  <c r="Z39" i="9"/>
  <c r="Y44" i="9"/>
  <c r="Y43" i="9"/>
  <c r="Y40" i="9"/>
  <c r="Y39" i="9"/>
  <c r="X44" i="9"/>
  <c r="X43" i="9"/>
  <c r="X41" i="9"/>
  <c r="X40" i="9"/>
  <c r="X39" i="9"/>
  <c r="Y18" i="9"/>
  <c r="O35" i="3" l="1"/>
  <c r="V33" i="3" l="1"/>
  <c r="S40" i="9" l="1"/>
  <c r="S39" i="9"/>
  <c r="S44" i="9"/>
  <c r="S43" i="9"/>
  <c r="S41" i="9"/>
  <c r="S10" i="9"/>
  <c r="W44" i="9"/>
  <c r="W43" i="9"/>
  <c r="W40" i="9"/>
  <c r="W39" i="9"/>
  <c r="V44" i="9"/>
  <c r="V43" i="9"/>
  <c r="V41" i="9"/>
  <c r="V40" i="9"/>
  <c r="V39" i="9"/>
  <c r="U44" i="9"/>
  <c r="U43" i="9"/>
  <c r="U41" i="9"/>
  <c r="U40" i="9"/>
  <c r="U39" i="9"/>
  <c r="T44" i="9"/>
  <c r="T43" i="9"/>
  <c r="T41" i="9"/>
  <c r="T40" i="9"/>
  <c r="T39" i="9"/>
  <c r="R44" i="9"/>
  <c r="R43" i="9"/>
  <c r="R40" i="9"/>
  <c r="R39" i="9"/>
  <c r="Q44" i="9"/>
  <c r="Q43" i="9"/>
  <c r="Q40" i="9"/>
  <c r="Q39" i="9"/>
  <c r="AH30" i="3"/>
  <c r="AH29" i="3"/>
  <c r="W15" i="3"/>
  <c r="W3" i="3"/>
  <c r="W4" i="3"/>
  <c r="F4" i="3"/>
  <c r="AH31" i="3" l="1"/>
  <c r="D4" i="3"/>
  <c r="P44" i="9" l="1"/>
  <c r="P43" i="9"/>
  <c r="P40" i="9"/>
  <c r="P39" i="9"/>
  <c r="O44" i="9"/>
  <c r="O43" i="9"/>
  <c r="O40" i="9"/>
  <c r="O39" i="9"/>
  <c r="O3" i="3" l="1"/>
  <c r="O15" i="3"/>
  <c r="J43" i="9"/>
  <c r="J40" i="9"/>
  <c r="J39" i="9"/>
  <c r="J19" i="9"/>
  <c r="N44" i="9" l="1"/>
  <c r="N43" i="9"/>
  <c r="N41" i="9"/>
  <c r="N40" i="9"/>
  <c r="N39" i="9"/>
  <c r="M44" i="9"/>
  <c r="M43" i="9"/>
  <c r="M41" i="9"/>
  <c r="M40" i="9"/>
  <c r="M39" i="9"/>
  <c r="L44" i="9"/>
  <c r="L43" i="9"/>
  <c r="L41" i="9"/>
  <c r="L40" i="9"/>
  <c r="L39" i="9"/>
  <c r="K44" i="9"/>
  <c r="K43" i="9"/>
  <c r="K40" i="9"/>
  <c r="K39" i="9"/>
  <c r="I12" i="9" l="1"/>
  <c r="I9" i="9"/>
  <c r="I43" i="9" l="1"/>
  <c r="I40" i="9"/>
  <c r="I39" i="9"/>
  <c r="H44" i="9"/>
  <c r="H43" i="9"/>
  <c r="H41" i="9"/>
  <c r="H40" i="9"/>
  <c r="H39" i="9"/>
  <c r="D30" i="9" l="1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G52" i="3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C14" i="10"/>
  <c r="G44" i="9"/>
  <c r="G43" i="9"/>
  <c r="G41" i="9"/>
  <c r="G40" i="9"/>
  <c r="G39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C26" i="9"/>
  <c r="F44" i="9"/>
  <c r="F43" i="9"/>
  <c r="F41" i="9"/>
  <c r="F40" i="9"/>
  <c r="F39" i="9"/>
  <c r="D44" i="9"/>
  <c r="D43" i="9"/>
  <c r="D40" i="9"/>
  <c r="D39" i="9"/>
  <c r="E44" i="9"/>
  <c r="E43" i="9"/>
  <c r="E41" i="9"/>
  <c r="E40" i="9"/>
  <c r="E39" i="9"/>
  <c r="C43" i="9" l="1"/>
  <c r="C40" i="9"/>
  <c r="C39" i="9"/>
  <c r="AM7" i="10" l="1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5" i="3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3" i="11"/>
  <c r="C11" i="11"/>
  <c r="AL7" i="10"/>
  <c r="C10" i="11" s="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2" i="11" l="1"/>
  <c r="D17" i="11" s="1"/>
  <c r="C6" i="5"/>
  <c r="C41" i="5"/>
  <c r="AH9" i="10"/>
  <c r="AH11" i="10"/>
  <c r="AL11" i="10" s="1"/>
  <c r="C6" i="11" s="1"/>
  <c r="D8" i="11" s="1"/>
  <c r="AL9" i="10" l="1"/>
  <c r="AM12" i="10" s="1"/>
  <c r="AN12" i="10" s="1"/>
  <c r="E12" i="11"/>
  <c r="AM22" i="9"/>
  <c r="C18" i="7" s="1"/>
  <c r="AL22" i="9"/>
  <c r="C17" i="7" s="1"/>
  <c r="AN9" i="10" l="1"/>
  <c r="C19" i="7"/>
  <c r="AH29" i="9" l="1"/>
  <c r="C41" i="9" l="1"/>
  <c r="I41" i="9"/>
  <c r="P41" i="9"/>
  <c r="Q41" i="9"/>
  <c r="R41" i="9"/>
  <c r="AG41" i="9"/>
  <c r="C34" i="9"/>
  <c r="D34" i="9"/>
  <c r="J34" i="9"/>
  <c r="K34" i="9"/>
  <c r="K41" i="9" s="1"/>
  <c r="O34" i="9"/>
  <c r="P34" i="9"/>
  <c r="W34" i="9"/>
  <c r="Y34" i="9"/>
  <c r="Y41" i="9" s="1"/>
  <c r="AG34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J44" i="9"/>
  <c r="I44" i="9"/>
  <c r="AG43" i="9"/>
  <c r="AG42" i="9"/>
  <c r="AF42" i="9"/>
  <c r="AE42" i="9"/>
  <c r="AD42" i="9"/>
  <c r="AC42" i="9"/>
  <c r="AA42" i="9"/>
  <c r="Z42" i="9"/>
  <c r="Y42" i="9"/>
  <c r="X42" i="9"/>
  <c r="W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G42" i="9"/>
  <c r="F42" i="9"/>
  <c r="D42" i="9"/>
  <c r="C42" i="9"/>
  <c r="AG40" i="9"/>
  <c r="AG39" i="9"/>
  <c r="AG32" i="9"/>
  <c r="D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C35" i="9"/>
  <c r="AD35" i="9"/>
  <c r="AE35" i="9"/>
  <c r="AG35" i="9"/>
  <c r="AG36" i="9"/>
  <c r="AG37" i="9"/>
  <c r="C35" i="9"/>
  <c r="C37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1" i="9"/>
  <c r="AH23" i="9"/>
  <c r="X46" i="9" l="1"/>
  <c r="X38" i="9"/>
  <c r="Y38" i="9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T46" i="9"/>
  <c r="AH33" i="9"/>
  <c r="T38" i="9"/>
  <c r="AH38" i="9" l="1"/>
  <c r="AJ32" i="9"/>
  <c r="C25" i="7" s="1"/>
  <c r="AH46" i="9"/>
  <c r="AJ46" i="9" s="1"/>
  <c r="AJ35" i="9"/>
  <c r="C28" i="7" s="1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D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forgot to give military discount, gave $18 cash back to customer, subtracted from daily admissions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Mary M. gave back $32.80 cash refunds on cc transactions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one towel purchase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Maggie's cash sale that cash was not collected for. Rung up on other register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40.98 discounts applied to Box Canon. Manually subtracted from deposit total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$192 rung up to external card reader in ActiveNet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$598 comp passes sold by mistake. Refunded 6/2
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$598 refund from 6/1
Steve S. short $17.75
Glynn W. short $43.50 ($18 for military discount refund, $26 cash sale rung up, then customer changed mind and used card. Refunded 6/3) Glynn's true o/s is $0.50 over
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 refund from 6/2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W. short $95 ($100 refunded 6/5, true over/short $5.00 over)
Lilly G. over $2.54
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refunded receipt 1075309.002 from 6/4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Lauren S. short $9.02
Glynn W. over $12.47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Debbie S. short $20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Mary M. short $52.04
Gema M. short $44.16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Mary M. $6.00 over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Gema M. $19.26 short
Marina N. $7.00 short
Debbie S. $31.80 refunds on drawer, unsure what original transactions are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Marina N. $15.50 short
$63 over ext cc 
Sara W. over $1.98
Sydney G. over $0.09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extra $14.84 in deposit not accounted for on anyone's count sheets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Gema M. $8.52 short (note that Steve did refund on her drawer)
Steve S. $4.00 short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$100 cash sale rung up twice, cash not collected. Refunded 6/18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$100 refund from 6/17 processed
Sara W. short $40.76
Mary M. short $7.01
Marina N. short $2.07
Sydney G. short $0.11
Gema M. over $0.95
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extra $100 bill (probably two bills stuck together when paid)
Lauren S. over $8.95
Lilly G. short $43.84
Sara W. over $2.25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G. $0.21 over
Glynn W. $0.07 over
Gema M. $10.02 short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Mary M. short $30.18
Gema M. over $8.23
Lilly G. short $0.25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Gema M. gave cash refund for incorrect charge. Drawer short $35.14 for day
Mary M. over $7.17
Lilly G. over $1.14
Sara W. over $1.03
            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S. short $20.03
Gema M. over $1.82
Sara W. over $3.13
Lilly G. short $2.31
Mary M. short $0.04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Marina N. $11.03 short
Lilly G. $1.14 over
Sara W. $0.70 over
Lauren S. $0.08 short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AB10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manually subtracted one adult admission, rang up cash by mistake, paid with card.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40.98 Pool discounts deducted from Box Canon. Manually added back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$90 external card sales rung up, 173.79 batched out</t>
        </r>
      </text>
    </comment>
    <comment ref="AN2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 card sales not rung up in ActiveNet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ext cc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 cc transaction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C27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<sst xmlns="http://schemas.openxmlformats.org/spreadsheetml/2006/main" count="519" uniqueCount="235">
  <si>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</si>
  <si>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</si>
  <si>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</si>
  <si>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</si>
  <si>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</si>
  <si>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</si>
  <si>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</si>
  <si>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</si>
  <si>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</si>
  <si>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</si>
  <si>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</si>
  <si>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</si>
  <si>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</si>
  <si>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</si>
  <si>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</si>
  <si>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</si>
  <si>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</si>
  <si>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</si>
  <si>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</si>
  <si>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</si>
  <si>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</si>
  <si>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</si>
  <si>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</si>
  <si>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</si>
  <si>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</si>
  <si>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</si>
  <si>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</si>
  <si>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</si>
  <si>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</si>
  <si>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</si>
  <si>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</si>
  <si>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</si>
  <si>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</si>
  <si>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</si>
  <si>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</si>
  <si>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</si>
  <si>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</si>
  <si>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</si>
  <si>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</si>
  <si>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</si>
  <si>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</si>
  <si>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</si>
  <si>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</si>
  <si>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</si>
  <si>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</si>
  <si>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</si>
  <si>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</si>
  <si>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</si>
  <si>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</si>
  <si>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</si>
  <si>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</si>
  <si>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</si>
  <si>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</si>
  <si>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</si>
  <si>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</si>
  <si>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</si>
  <si>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</si>
  <si>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</si>
  <si>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</si>
  <si>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</si>
  <si>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</si>
  <si>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</si>
  <si>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</si>
  <si>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</si>
  <si>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</si>
  <si>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</si>
  <si>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</si>
  <si>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</si>
  <si>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</si>
  <si>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</si>
  <si>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</si>
  <si>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</si>
  <si>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</si>
  <si>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</si>
  <si>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</si>
  <si>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</si>
  <si>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</si>
  <si>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</si>
  <si>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</si>
  <si>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</si>
  <si>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</si>
  <si>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</si>
  <si>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</si>
  <si>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</si>
  <si>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</si>
  <si>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</si>
  <si>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</si>
  <si>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</si>
  <si>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</si>
  <si>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</si>
  <si>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</si>
  <si>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</si>
  <si>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</si>
  <si>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</si>
  <si>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</si>
  <si>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</si>
  <si>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</si>
  <si>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</si>
  <si>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</si>
  <si>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</si>
  <si>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</si>
  <si>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</si>
  <si>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</si>
  <si>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</si>
  <si>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</si>
  <si>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</si>
  <si>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</si>
  <si>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</si>
  <si>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</si>
  <si>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</si>
  <si>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</si>
  <si>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</si>
  <si>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</si>
  <si>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</si>
  <si>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</si>
  <si>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</si>
  <si>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</si>
  <si>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</si>
  <si>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</si>
  <si>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</si>
  <si>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</si>
  <si>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</si>
  <si>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</si>
  <si>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</si>
  <si>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</si>
  <si>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</si>
  <si>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</si>
  <si>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</si>
  <si>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</si>
  <si>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</si>
  <si>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</si>
  <si>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</si>
  <si>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</si>
  <si>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</si>
  <si>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</si>
  <si>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</si>
  <si>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</si>
  <si>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</si>
  <si>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</si>
  <si>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</si>
  <si>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</si>
  <si>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</si>
  <si>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</si>
  <si>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</si>
  <si>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</si>
  <si>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</si>
  <si>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</si>
  <si>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</si>
  <si>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</si>
  <si>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</si>
  <si>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</si>
  <si>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</si>
  <si>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</si>
  <si>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</si>
  <si>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</si>
  <si>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</si>
  <si>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</si>
  <si>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</si>
  <si>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</si>
  <si>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</si>
  <si>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</si>
  <si>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</si>
  <si>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</si>
  <si>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</si>
  <si>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</si>
  <si>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</si>
  <si>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</si>
  <si>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</si>
  <si>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</si>
  <si>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</si>
  <si>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</si>
  <si>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</si>
  <si>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</si>
  <si>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</si>
  <si>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</si>
  <si>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</si>
  <si>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</si>
  <si>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</si>
  <si>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</si>
  <si>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</si>
  <si>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</si>
  <si>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</si>
  <si>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</si>
  <si>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</si>
  <si>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</si>
  <si>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</si>
  <si>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</si>
  <si>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</si>
  <si>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</si>
  <si>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</si>
  <si>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</si>
  <si>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</si>
  <si>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</si>
  <si>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</si>
  <si>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</si>
  <si>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</si>
  <si>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</si>
  <si>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</si>
  <si>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</si>
  <si>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</si>
  <si>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</si>
  <si>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</si>
  <si>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</si>
  <si>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</si>
  <si>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</si>
  <si>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</si>
  <si>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</si>
  <si>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</si>
  <si>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</si>
  <si>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</si>
  <si>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</si>
  <si>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</si>
  <si>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</si>
  <si>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</si>
  <si>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</si>
  <si>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</si>
  <si>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</si>
  <si>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</si>
  <si>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</si>
  <si>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</si>
  <si>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</si>
  <si>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</si>
  <si>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</si>
  <si>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</si>
  <si>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</si>
  <si>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</si>
  <si>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</si>
  <si>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</si>
  <si>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</si>
  <si>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</si>
  <si>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</si>
  <si>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</si>
  <si>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</si>
  <si>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June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</si>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</sst>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58" xfId="0" applyNumberFormat="1" applyFont="1" applyBorder="1" applyProtection="1"/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43" fontId="12" fillId="7" borderId="19" xfId="0" applyNumberFormat="1" applyFont="1" applyFill="1" applyBorder="1" applyProtection="1"/>
    <xf numFmtId="43" fontId="13" fillId="7" borderId="73" xfId="0" applyNumberFormat="1" applyFont="1" applyFill="1" applyBorder="1" applyProtection="1"/>
    <xf numFmtId="43" fontId="12" fillId="0" borderId="0" xfId="0" applyNumberFormat="1" applyFont="1" applyProtection="1">
      <protection locked="0"/>
    </xf>
    <xf numFmtId="0" fontId="12" fillId="7" borderId="46" xfId="0" applyFont="1" applyFill="1" applyBorder="1" applyProtection="1"/>
    <xf numFmtId="43" fontId="12" fillId="7" borderId="9" xfId="0" applyNumberFormat="1" applyFont="1" applyFill="1" applyBorder="1" applyProtection="1"/>
    <xf numFmtId="43" fontId="33" fillId="7" borderId="29" xfId="0" applyNumberFormat="1" applyFont="1" applyFill="1" applyBorder="1" applyProtection="1">
      <protection locked="0"/>
    </xf>
    <xf numFmtId="43" fontId="12" fillId="7" borderId="29" xfId="0" applyNumberFormat="1" applyFont="1" applyFill="1" applyBorder="1" applyProtection="1"/>
    <xf numFmtId="43" fontId="12" fillId="7" borderId="22" xfId="0" applyNumberFormat="1" applyFont="1" applyFill="1" applyBorder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43" fontId="42" fillId="7" borderId="73" xfId="0" applyNumberFormat="1" applyFont="1" applyFill="1" applyBorder="1" applyProtection="1"/>
    <xf numFmtId="43" fontId="45" fillId="7" borderId="9" xfId="0" applyNumberFormat="1" applyFont="1" applyFill="1" applyBorder="1" applyProtection="1"/>
    <xf numFmtId="0" fontId="45" fillId="7" borderId="46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501" t="s">
        <v>1</v>
      </c>
      <c r="D4" s="502"/>
      <c r="E4" s="502"/>
      <c r="F4" s="502"/>
      <c r="G4" s="502"/>
      <c r="H4" s="502"/>
      <c r="I4" s="502"/>
      <c r="J4" s="502"/>
      <c r="K4" s="502"/>
      <c r="L4" s="502"/>
      <c r="M4" s="503"/>
      <c r="N4" s="6"/>
      <c r="O4" s="504" t="s">
        <v>2</v>
      </c>
      <c r="P4" s="505"/>
      <c r="Q4" s="505"/>
      <c r="R4" s="50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45078</v>
      </c>
      <c r="B8" s="232" t="str">
        <f>TEXT(A8, "DDD")</f>
        <v>Thu</v>
      </c>
      <c r="C8" s="152">
        <f t="array" ref="C8:C38">TRANSPOSE(Pool!C33:AG33)</f>
        <v>987</v>
      </c>
      <c r="D8" s="58">
        <f>'Box Canon'!C18+'Box Canon'!C19</f>
        <v>856.25</v>
      </c>
      <c r="E8" s="21"/>
      <c r="F8" s="21"/>
      <c r="G8" s="151">
        <f t="array" ref="G8:G38">TRANSPOSE(Pool!C34:AG34)</f>
        <v>7779.04</v>
      </c>
      <c r="H8" s="151">
        <f t="array" ref="H8:H38">TRANSPOSE(Pool!C35:AG35)</f>
        <v>0</v>
      </c>
      <c r="I8" s="151">
        <f>'Box Canon'!C20+'Box Canon'!C21</f>
        <v>1862.9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45079</v>
      </c>
      <c r="B9" s="232" t="str">
        <f t="shared" ref="B9:B38" si="0">TEXT(A9, "DDD")</f>
        <v>Fri</v>
      </c>
      <c r="C9" s="152">
        <v>782.7</v>
      </c>
      <c r="D9" s="58">
        <f>'Box Canon'!D18+'Box Canon'!D19</f>
        <v>737.95</v>
      </c>
      <c r="E9" s="21"/>
      <c r="F9" s="21"/>
      <c r="G9" s="151">
        <v>8934.86</v>
      </c>
      <c r="H9" s="151">
        <v>0</v>
      </c>
      <c r="I9" s="151">
        <f>'Box Canon'!D20+'Box Canon'!D21</f>
        <v>1648.32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45080</v>
      </c>
      <c r="B10" s="232" t="str">
        <f t="shared" si="0"/>
        <v>Sat</v>
      </c>
      <c r="C10" s="152">
        <v>1514.88</v>
      </c>
      <c r="D10" s="58">
        <f>'Box Canon'!E18+'Box Canon'!E19</f>
        <v>1597.24</v>
      </c>
      <c r="E10" s="21"/>
      <c r="F10" s="21"/>
      <c r="G10" s="151">
        <v>12515.33</v>
      </c>
      <c r="H10" s="151">
        <v>0</v>
      </c>
      <c r="I10" s="151">
        <f>'Box Canon'!E20+'Box Canon'!E21</f>
        <v>2536.91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45081</v>
      </c>
      <c r="B11" s="232" t="str">
        <f t="shared" si="0"/>
        <v>Sun</v>
      </c>
      <c r="C11" s="152">
        <v>3633.59</v>
      </c>
      <c r="D11" s="58">
        <f>'Box Canon'!F18+'Box Canon'!F19</f>
        <v>1426.3600000000001</v>
      </c>
      <c r="E11" s="21"/>
      <c r="F11" s="21"/>
      <c r="G11" s="151">
        <v>10505.85</v>
      </c>
      <c r="H11" s="153">
        <v>200</v>
      </c>
      <c r="I11" s="151">
        <f>'Box Canon'!F20+'Box Canon'!F21</f>
        <v>1962.67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45082</v>
      </c>
      <c r="B12" s="232" t="str">
        <f t="shared" si="0"/>
        <v>Mon</v>
      </c>
      <c r="C12" s="152">
        <v>1341.63</v>
      </c>
      <c r="D12" s="58">
        <f>'Box Canon'!G18+'Box Canon'!G19</f>
        <v>809.16</v>
      </c>
      <c r="E12" s="21"/>
      <c r="F12" s="21"/>
      <c r="G12" s="151">
        <v>9664.25</v>
      </c>
      <c r="H12" s="153">
        <v>0</v>
      </c>
      <c r="I12" s="151">
        <f>'Box Canon'!G20+'Box Canon'!G21</f>
        <v>2008.87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45083</v>
      </c>
      <c r="B13" s="232" t="str">
        <f t="shared" si="0"/>
        <v>Tue</v>
      </c>
      <c r="C13" s="152">
        <v>1137.01</v>
      </c>
      <c r="D13" s="58">
        <f>'Box Canon'!H18+'Box Canon'!H19</f>
        <v>1379.32</v>
      </c>
      <c r="E13" s="21"/>
      <c r="F13" s="21"/>
      <c r="G13" s="151">
        <v>10240.879999999999</v>
      </c>
      <c r="H13" s="153">
        <v>0</v>
      </c>
      <c r="I13" s="151">
        <f>'Box Canon'!H20+'Box Canon'!H21</f>
        <v>2487.96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45084</v>
      </c>
      <c r="B14" s="232" t="str">
        <f t="shared" si="0"/>
        <v>Wed</v>
      </c>
      <c r="C14" s="152">
        <v>1264.8900000000001</v>
      </c>
      <c r="D14" s="58">
        <f>'Box Canon'!I18+'Box Canon'!I19</f>
        <v>1230.57</v>
      </c>
      <c r="E14" s="21"/>
      <c r="F14" s="21"/>
      <c r="G14" s="151">
        <v>9240.1299999999992</v>
      </c>
      <c r="H14" s="153">
        <v>0</v>
      </c>
      <c r="I14" s="151">
        <f>'Box Canon'!I20+'Box Canon'!I21</f>
        <v>1910.42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45085</v>
      </c>
      <c r="B15" s="232" t="str">
        <f t="shared" si="0"/>
        <v>Thu</v>
      </c>
      <c r="C15" s="152">
        <v>1339.56</v>
      </c>
      <c r="D15" s="58">
        <f>'Box Canon'!J18+'Box Canon'!J19</f>
        <v>1380.76</v>
      </c>
      <c r="E15" s="21"/>
      <c r="F15" s="21"/>
      <c r="G15" s="151">
        <v>11542.06</v>
      </c>
      <c r="H15" s="153">
        <v>0</v>
      </c>
      <c r="I15" s="151">
        <f>'Box Canon'!J20+'Box Canon'!J21</f>
        <v>2338.63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45086</v>
      </c>
      <c r="B16" s="232" t="str">
        <f t="shared" si="0"/>
        <v>Fri</v>
      </c>
      <c r="C16" s="152">
        <v>1026.69</v>
      </c>
      <c r="D16" s="58">
        <f>'Box Canon'!K18+'Box Canon'!K19</f>
        <v>980.93000000000006</v>
      </c>
      <c r="E16" s="21"/>
      <c r="F16" s="21"/>
      <c r="G16" s="151">
        <v>11629.94</v>
      </c>
      <c r="H16" s="153">
        <v>0</v>
      </c>
      <c r="I16" s="151">
        <f>'Box Canon'!K20+'Box Canon'!K21</f>
        <v>2557.94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45087</v>
      </c>
      <c r="B17" s="232" t="str">
        <f t="shared" si="0"/>
        <v>Sat</v>
      </c>
      <c r="C17" s="152">
        <v>2864.46</v>
      </c>
      <c r="D17" s="58">
        <f>'Box Canon'!L18+'Box Canon'!L19</f>
        <v>1699.59</v>
      </c>
      <c r="E17" s="21"/>
      <c r="F17" s="21"/>
      <c r="G17" s="151">
        <v>14863.49</v>
      </c>
      <c r="H17" s="153">
        <v>0</v>
      </c>
      <c r="I17" s="151">
        <f>'Box Canon'!L20+'Box Canon'!L21</f>
        <v>2299.4899999999998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45088</v>
      </c>
      <c r="B18" s="232" t="str">
        <f t="shared" si="0"/>
        <v>Sun</v>
      </c>
      <c r="C18" s="152">
        <v>2660.21</v>
      </c>
      <c r="D18" s="58">
        <f>'Box Canon'!M18+'Box Canon'!M19</f>
        <v>1186.9299999999998</v>
      </c>
      <c r="E18" s="21"/>
      <c r="F18" s="21"/>
      <c r="G18" s="151">
        <v>12453.34</v>
      </c>
      <c r="H18" s="153">
        <v>-200</v>
      </c>
      <c r="I18" s="151">
        <f>'Box Canon'!M20+'Box Canon'!M21</f>
        <v>2977.13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45089</v>
      </c>
      <c r="B19" s="232" t="str">
        <f t="shared" si="0"/>
        <v>Mon</v>
      </c>
      <c r="C19" s="152">
        <v>1733.75</v>
      </c>
      <c r="D19" s="58">
        <f>'Box Canon'!N18+'Box Canon'!N19</f>
        <v>929.36999999999989</v>
      </c>
      <c r="E19" s="21"/>
      <c r="F19" s="21"/>
      <c r="G19" s="151">
        <v>12961.63</v>
      </c>
      <c r="H19" s="153">
        <v>0.01</v>
      </c>
      <c r="I19" s="151">
        <f>'Box Canon'!N20+'Box Canon'!N21</f>
        <v>2774.82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45090</v>
      </c>
      <c r="B20" s="232" t="str">
        <f t="shared" si="0"/>
        <v>Tue</v>
      </c>
      <c r="C20" s="152">
        <v>1838.61</v>
      </c>
      <c r="D20" s="58">
        <f>'Box Canon'!O18+'Box Canon'!O19</f>
        <v>1289.78</v>
      </c>
      <c r="E20" s="21"/>
      <c r="F20" s="21"/>
      <c r="G20" s="151">
        <v>9559.0400000000009</v>
      </c>
      <c r="H20" s="153">
        <v>255</v>
      </c>
      <c r="I20" s="151">
        <f>'Box Canon'!O20+'Box Canon'!O21</f>
        <v>2199.48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45091</v>
      </c>
      <c r="B21" s="232" t="str">
        <f t="shared" si="0"/>
        <v>Wed</v>
      </c>
      <c r="C21" s="152">
        <v>1309.43</v>
      </c>
      <c r="D21" s="58">
        <f>'Box Canon'!P18+'Box Canon'!P19</f>
        <v>1056.71</v>
      </c>
      <c r="E21" s="41"/>
      <c r="F21" s="21"/>
      <c r="G21" s="151">
        <v>12481.31</v>
      </c>
      <c r="H21" s="153">
        <v>0</v>
      </c>
      <c r="I21" s="151">
        <f>'Box Canon'!P20+'Box Canon'!P21</f>
        <v>2124.02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45092</v>
      </c>
      <c r="B22" s="232" t="str">
        <f t="shared" si="0"/>
        <v>Thu</v>
      </c>
      <c r="C22" s="152">
        <v>1324.27</v>
      </c>
      <c r="D22" s="58">
        <f>'Box Canon'!Q18+'Box Canon'!Q19</f>
        <v>1155.75</v>
      </c>
      <c r="E22" s="21"/>
      <c r="F22" s="21"/>
      <c r="G22" s="151">
        <v>13402.2</v>
      </c>
      <c r="H22" s="153">
        <v>0</v>
      </c>
      <c r="I22" s="151">
        <f>'Box Canon'!Q20+'Box Canon'!Q21</f>
        <v>2455.02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45093</v>
      </c>
      <c r="B23" s="232" t="str">
        <f t="shared" si="0"/>
        <v>Fri</v>
      </c>
      <c r="C23" s="152">
        <v>1668.1</v>
      </c>
      <c r="D23" s="58">
        <f>'Box Canon'!R18+'Box Canon'!R19</f>
        <v>1243.51</v>
      </c>
      <c r="E23" s="21"/>
      <c r="F23" s="21"/>
      <c r="G23" s="151">
        <v>7587.88</v>
      </c>
      <c r="H23" s="153">
        <v>0</v>
      </c>
      <c r="I23" s="151">
        <f>'Box Canon'!R20+'Box Canon'!R21</f>
        <v>2626.9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45094</v>
      </c>
      <c r="B24" s="232" t="str">
        <f t="shared" si="0"/>
        <v>Sat</v>
      </c>
      <c r="C24" s="152">
        <v>3241.52</v>
      </c>
      <c r="D24" s="58">
        <f>'Box Canon'!S18+'Box Canon'!S19</f>
        <v>1710.0099999999998</v>
      </c>
      <c r="E24" s="21"/>
      <c r="F24" s="21"/>
      <c r="G24" s="151">
        <v>24332.6</v>
      </c>
      <c r="H24" s="153">
        <v>0</v>
      </c>
      <c r="I24" s="151">
        <f>'Box Canon'!S20+'Box Canon'!S21</f>
        <v>3520.24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45095</v>
      </c>
      <c r="B25" s="232" t="str">
        <f t="shared" si="0"/>
        <v>Sun</v>
      </c>
      <c r="C25" s="152">
        <v>4319.33</v>
      </c>
      <c r="D25" s="58">
        <f>'Box Canon'!T18+'Box Canon'!T19</f>
        <v>1666.01</v>
      </c>
      <c r="E25" s="21"/>
      <c r="F25" s="21"/>
      <c r="G25" s="151">
        <v>18306.73</v>
      </c>
      <c r="H25" s="153">
        <v>0</v>
      </c>
      <c r="I25" s="151">
        <f>'Box Canon'!T20+'Box Canon'!T21</f>
        <v>4743.9400000000005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45096</v>
      </c>
      <c r="B26" s="232" t="str">
        <f t="shared" si="0"/>
        <v>Mon</v>
      </c>
      <c r="C26" s="152">
        <v>2409.33</v>
      </c>
      <c r="D26" s="58">
        <f>'Box Canon'!U18+'Box Canon'!U19</f>
        <v>1625.23</v>
      </c>
      <c r="E26" s="21"/>
      <c r="F26" s="21"/>
      <c r="G26" s="151">
        <v>17857.900000000001</v>
      </c>
      <c r="H26" s="153">
        <v>0</v>
      </c>
      <c r="I26" s="151">
        <f>'Box Canon'!U20+'Box Canon'!U21</f>
        <v>2672.23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45097</v>
      </c>
      <c r="B27" s="232" t="str">
        <f t="shared" si="0"/>
        <v>Tue</v>
      </c>
      <c r="C27" s="152">
        <v>3147.79</v>
      </c>
      <c r="D27" s="58">
        <f>'Box Canon'!V18+'Box Canon'!V19</f>
        <v>1720.4</v>
      </c>
      <c r="E27" s="21"/>
      <c r="F27" s="21"/>
      <c r="G27" s="151">
        <v>12314.13</v>
      </c>
      <c r="H27" s="153">
        <v>0</v>
      </c>
      <c r="I27" s="151">
        <f>'Box Canon'!V20+'Box Canon'!V21</f>
        <v>3403.8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45098</v>
      </c>
      <c r="B28" s="232" t="str">
        <f t="shared" si="0"/>
        <v>Wed</v>
      </c>
      <c r="C28" s="152">
        <v>3088.89</v>
      </c>
      <c r="D28" s="58">
        <f>'Box Canon'!W18+'Box Canon'!W19</f>
        <v>1593.94</v>
      </c>
      <c r="E28" s="21"/>
      <c r="F28" s="21"/>
      <c r="G28" s="151">
        <v>15734.08</v>
      </c>
      <c r="H28" s="153">
        <v>0</v>
      </c>
      <c r="I28" s="151">
        <f>'Box Canon'!W20+'Box Canon'!W21</f>
        <v>2689.96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45099</v>
      </c>
      <c r="B29" s="232" t="str">
        <f t="shared" si="0"/>
        <v>Thu</v>
      </c>
      <c r="C29" s="152">
        <v>2856.99</v>
      </c>
      <c r="D29" s="58">
        <f>'Box Canon'!X18+'Box Canon'!X19</f>
        <v>1683.86</v>
      </c>
      <c r="E29" s="21"/>
      <c r="F29" s="21"/>
      <c r="G29" s="151">
        <v>15620.52</v>
      </c>
      <c r="H29" s="153">
        <v>0</v>
      </c>
      <c r="I29" s="151">
        <f>'Box Canon'!X20+'Box Canon'!X21</f>
        <v>3120.59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45100</v>
      </c>
      <c r="B30" s="232" t="str">
        <f t="shared" si="0"/>
        <v>Fri</v>
      </c>
      <c r="C30" s="152">
        <v>2356.4699999999998</v>
      </c>
      <c r="D30" s="58">
        <f>'Box Canon'!Y18+'Box Canon'!Y19</f>
        <v>1964.23</v>
      </c>
      <c r="E30" s="21"/>
      <c r="F30" s="21"/>
      <c r="G30" s="151">
        <v>15857.53</v>
      </c>
      <c r="H30" s="153">
        <v>0</v>
      </c>
      <c r="I30" s="151">
        <f>'Box Canon'!Y20+'Box Canon'!Y21</f>
        <v>3056.0699999999997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45101</v>
      </c>
      <c r="B31" s="232" t="str">
        <f t="shared" si="0"/>
        <v>Sat</v>
      </c>
      <c r="C31" s="152">
        <v>3259.89</v>
      </c>
      <c r="D31" s="58">
        <f>'Box Canon'!Z18+'Box Canon'!Z19</f>
        <v>1787.96</v>
      </c>
      <c r="E31" s="21"/>
      <c r="F31" s="21"/>
      <c r="G31" s="151">
        <v>17023.64</v>
      </c>
      <c r="H31" s="153">
        <v>0</v>
      </c>
      <c r="I31" s="151">
        <f>'Box Canon'!Z20+'Box Canon'!Z21</f>
        <v>4415.8600000000006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45102</v>
      </c>
      <c r="B32" s="232" t="str">
        <f t="shared" si="0"/>
        <v>Sun</v>
      </c>
      <c r="C32" s="152">
        <v>2851.7</v>
      </c>
      <c r="D32" s="58">
        <f>'Box Canon'!AA18+'Box Canon'!AA19</f>
        <v>1487.3400000000001</v>
      </c>
      <c r="E32" s="21"/>
      <c r="F32" s="21"/>
      <c r="G32" s="151">
        <v>15600.77</v>
      </c>
      <c r="H32" s="153">
        <v>0</v>
      </c>
      <c r="I32" s="151">
        <f>'Box Canon'!AA20+'Box Canon'!AA21</f>
        <v>3337.34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45103</v>
      </c>
      <c r="B33" s="232" t="str">
        <f t="shared" si="0"/>
        <v>Mon</v>
      </c>
      <c r="C33" s="152">
        <v>2184.37</v>
      </c>
      <c r="D33" s="58">
        <f>'Box Canon'!AB18+'Box Canon'!AB19</f>
        <v>1620.11</v>
      </c>
      <c r="E33" s="21"/>
      <c r="F33" s="21"/>
      <c r="G33" s="151">
        <v>15357.8</v>
      </c>
      <c r="H33" s="153">
        <v>0</v>
      </c>
      <c r="I33" s="151">
        <f>'Box Canon'!AB20+'Box Canon'!AB21</f>
        <v>3731.0699999999997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45104</v>
      </c>
      <c r="B34" s="232" t="str">
        <f t="shared" si="0"/>
        <v>Tue</v>
      </c>
      <c r="C34" s="152">
        <v>2976</v>
      </c>
      <c r="D34" s="58">
        <f>'Box Canon'!AC18+'Box Canon'!AC19</f>
        <v>1939.98</v>
      </c>
      <c r="E34" s="21"/>
      <c r="F34" s="21"/>
      <c r="G34" s="151">
        <v>14737.92</v>
      </c>
      <c r="H34" s="153">
        <v>0</v>
      </c>
      <c r="I34" s="151">
        <f>'Box Canon'!AC20+'Box Canon'!AC21</f>
        <v>2935.48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45105</v>
      </c>
      <c r="B35" s="232" t="str">
        <f t="shared" si="0"/>
        <v>Wed</v>
      </c>
      <c r="C35" s="152">
        <v>2229.67</v>
      </c>
      <c r="D35" s="58">
        <f>'Box Canon'!AD18+'Box Canon'!AD19</f>
        <v>1804.63</v>
      </c>
      <c r="E35" s="21"/>
      <c r="F35" s="21"/>
      <c r="G35" s="151">
        <v>17089.68</v>
      </c>
      <c r="H35" s="153">
        <v>0</v>
      </c>
      <c r="I35" s="151">
        <f>'Box Canon'!AD20+'Box Canon'!AD21</f>
        <v>3217.3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45106</v>
      </c>
      <c r="B36" s="232" t="str">
        <f t="shared" si="0"/>
        <v>Thu</v>
      </c>
      <c r="C36" s="152">
        <v>2334.34</v>
      </c>
      <c r="D36" s="58">
        <f>'Box Canon'!AE18+'Box Canon'!AE19</f>
        <v>1531.25</v>
      </c>
      <c r="E36" s="42"/>
      <c r="F36" s="21"/>
      <c r="G36" s="151">
        <v>14270.9</v>
      </c>
      <c r="H36" s="153">
        <v>0</v>
      </c>
      <c r="I36" s="151">
        <f>'Box Canon'!AE20+'Box Canon'!AE21</f>
        <v>3015.8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45107</v>
      </c>
      <c r="B37" s="232" t="str">
        <f t="shared" si="0"/>
        <v>Fri</v>
      </c>
      <c r="C37" s="152">
        <v>2012.63</v>
      </c>
      <c r="D37" s="58">
        <f>'Box Canon'!AF18+'Box Canon'!AF19</f>
        <v>1330.9299999999998</v>
      </c>
      <c r="E37" s="21"/>
      <c r="F37" s="21"/>
      <c r="G37" s="151">
        <v>13895.13</v>
      </c>
      <c r="H37" s="153">
        <v>0</v>
      </c>
      <c r="I37" s="151">
        <f>'Box Canon'!AF20+'Box Canon'!AF21</f>
        <v>3114.58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45108</v>
      </c>
      <c r="B38" s="232" t="str">
        <f t="shared" si="0"/>
        <v>Sat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65695.7</v>
      </c>
      <c r="D40" s="171">
        <f t="shared" ref="D40:M40" si="2">SUM(D8:D39)</f>
        <v>42426.06</v>
      </c>
      <c r="E40" s="172">
        <f t="shared" si="2"/>
        <v>0</v>
      </c>
      <c r="F40" s="172">
        <f t="shared" si="2"/>
        <v>0</v>
      </c>
      <c r="G40" s="171">
        <f>SUM(G8:G38)</f>
        <v>403360.56000000011</v>
      </c>
      <c r="H40" s="171">
        <f>SUM(H8:H38)</f>
        <v>255.01</v>
      </c>
      <c r="I40" s="171">
        <f>SUM(I8:I38)</f>
        <v>83745.74000000002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595483.07000000018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108121.76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34" sqref="T34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119</v>
      </c>
      <c r="B1" s="378" t="str">
        <f>'Cash Flow'!C1</f>
        <v>June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45078</v>
      </c>
      <c r="D2" s="106">
        <f>C2+1</f>
        <v>45079</v>
      </c>
      <c r="E2" s="106">
        <f>D2+1</f>
        <v>45080</v>
      </c>
      <c r="F2" s="106">
        <f t="shared" ref="F2:AG2" si="0">E2+1</f>
        <v>45081</v>
      </c>
      <c r="G2" s="106">
        <f t="shared" si="0"/>
        <v>45082</v>
      </c>
      <c r="H2" s="106">
        <f t="shared" si="0"/>
        <v>45083</v>
      </c>
      <c r="I2" s="106">
        <f t="shared" si="0"/>
        <v>45084</v>
      </c>
      <c r="J2" s="106">
        <f t="shared" si="0"/>
        <v>45085</v>
      </c>
      <c r="K2" s="106">
        <f t="shared" si="0"/>
        <v>45086</v>
      </c>
      <c r="L2" s="106">
        <f t="shared" si="0"/>
        <v>45087</v>
      </c>
      <c r="M2" s="106">
        <f t="shared" si="0"/>
        <v>45088</v>
      </c>
      <c r="N2" s="106">
        <f t="shared" si="0"/>
        <v>45089</v>
      </c>
      <c r="O2" s="106">
        <f t="shared" si="0"/>
        <v>45090</v>
      </c>
      <c r="P2" s="106">
        <f t="shared" si="0"/>
        <v>45091</v>
      </c>
      <c r="Q2" s="106">
        <f t="shared" si="0"/>
        <v>45092</v>
      </c>
      <c r="R2" s="106">
        <f t="shared" si="0"/>
        <v>45093</v>
      </c>
      <c r="S2" s="106">
        <f t="shared" si="0"/>
        <v>45094</v>
      </c>
      <c r="T2" s="106">
        <f t="shared" si="0"/>
        <v>45095</v>
      </c>
      <c r="U2" s="106">
        <f t="shared" si="0"/>
        <v>45096</v>
      </c>
      <c r="V2" s="106">
        <f t="shared" si="0"/>
        <v>45097</v>
      </c>
      <c r="W2" s="106">
        <f t="shared" si="0"/>
        <v>45098</v>
      </c>
      <c r="X2" s="106">
        <f t="shared" si="0"/>
        <v>45099</v>
      </c>
      <c r="Y2" s="106">
        <f t="shared" si="0"/>
        <v>45100</v>
      </c>
      <c r="Z2" s="106">
        <f t="shared" si="0"/>
        <v>45101</v>
      </c>
      <c r="AA2" s="106">
        <f t="shared" si="0"/>
        <v>45102</v>
      </c>
      <c r="AB2" s="106">
        <f t="shared" si="0"/>
        <v>45103</v>
      </c>
      <c r="AC2" s="106">
        <f t="shared" si="0"/>
        <v>45104</v>
      </c>
      <c r="AD2" s="106">
        <f t="shared" si="0"/>
        <v>45105</v>
      </c>
      <c r="AE2" s="106">
        <f t="shared" si="0"/>
        <v>45106</v>
      </c>
      <c r="AF2" s="106">
        <f t="shared" si="0"/>
        <v>45107</v>
      </c>
      <c r="AG2" s="106">
        <f t="shared" si="0"/>
        <v>45108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53.36</v>
      </c>
      <c r="D3" s="185">
        <v>47.37</v>
      </c>
      <c r="E3" s="185">
        <v>75.790000000000006</v>
      </c>
      <c r="F3" s="185">
        <v>80.98</v>
      </c>
      <c r="G3" s="185">
        <v>50.33</v>
      </c>
      <c r="H3" s="185">
        <v>31.16</v>
      </c>
      <c r="I3" s="185">
        <v>72.89</v>
      </c>
      <c r="J3" s="185">
        <v>97.23</v>
      </c>
      <c r="K3" s="185">
        <v>65.34</v>
      </c>
      <c r="L3" s="185">
        <v>105.89</v>
      </c>
      <c r="M3" s="185">
        <v>111.33</v>
      </c>
      <c r="N3" s="185">
        <v>60.44</v>
      </c>
      <c r="O3" s="185">
        <f>57.56-0.86</f>
        <v>56.7</v>
      </c>
      <c r="P3" s="185">
        <v>52.39</v>
      </c>
      <c r="Q3" s="185">
        <v>56.54</v>
      </c>
      <c r="R3" s="185">
        <v>71.59</v>
      </c>
      <c r="S3" s="185">
        <v>140.01</v>
      </c>
      <c r="T3" s="185">
        <v>138.80000000000001</v>
      </c>
      <c r="U3" s="185">
        <v>73.69</v>
      </c>
      <c r="V3" s="185">
        <v>75.569999999999993</v>
      </c>
      <c r="W3" s="185">
        <f>124.59-1.72</f>
        <v>122.87</v>
      </c>
      <c r="X3" s="185">
        <v>71.900000000000006</v>
      </c>
      <c r="Y3" s="185">
        <v>79.03</v>
      </c>
      <c r="Z3" s="185">
        <v>106.26</v>
      </c>
      <c r="AA3" s="185">
        <v>93.06</v>
      </c>
      <c r="AB3" s="185">
        <v>91.81</v>
      </c>
      <c r="AC3" s="185">
        <v>74.37</v>
      </c>
      <c r="AD3" s="185">
        <v>88.89</v>
      </c>
      <c r="AE3" s="185">
        <v>63.4</v>
      </c>
      <c r="AF3" s="185">
        <v>67.37</v>
      </c>
      <c r="AG3" s="185"/>
      <c r="AH3" s="108">
        <f>SUM(C3:AG3)</f>
        <v>2376.3599999999997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30</v>
      </c>
      <c r="B4" s="70" t="s">
        <v>226</v>
      </c>
      <c r="C4" s="71">
        <v>5858.8</v>
      </c>
      <c r="D4" s="72">
        <f>6112.4-18</f>
        <v>6094.4</v>
      </c>
      <c r="E4" s="71">
        <v>9549.6</v>
      </c>
      <c r="F4" s="71">
        <f>11370.2-12.8-20</f>
        <v>11337.400000000001</v>
      </c>
      <c r="G4" s="71">
        <v>7945.6</v>
      </c>
      <c r="H4" s="71">
        <v>8192</v>
      </c>
      <c r="I4" s="71">
        <v>7141.2</v>
      </c>
      <c r="J4" s="71">
        <v>9735.6</v>
      </c>
      <c r="K4" s="71">
        <v>8830</v>
      </c>
      <c r="L4" s="71">
        <v>13728.4</v>
      </c>
      <c r="M4" s="71">
        <v>11264.8</v>
      </c>
      <c r="N4" s="71">
        <v>10931</v>
      </c>
      <c r="O4" s="71">
        <v>8397.7999999999993</v>
      </c>
      <c r="P4" s="71">
        <v>9561.7999999999993</v>
      </c>
      <c r="Q4" s="71">
        <v>11003.4</v>
      </c>
      <c r="R4" s="71">
        <v>7627</v>
      </c>
      <c r="S4" s="71">
        <v>20093.8</v>
      </c>
      <c r="T4" s="71">
        <v>17827.599999999999</v>
      </c>
      <c r="U4" s="71">
        <v>13034.4</v>
      </c>
      <c r="V4" s="71">
        <v>11974</v>
      </c>
      <c r="W4" s="71">
        <f>14941-409.2</f>
        <v>14531.8</v>
      </c>
      <c r="X4" s="71">
        <v>13040.8</v>
      </c>
      <c r="Y4" s="71">
        <v>13265.2</v>
      </c>
      <c r="Z4" s="71">
        <v>16288</v>
      </c>
      <c r="AA4" s="71">
        <v>13498</v>
      </c>
      <c r="AB4" s="71">
        <v>13738</v>
      </c>
      <c r="AC4" s="71">
        <v>13001.4</v>
      </c>
      <c r="AD4" s="71">
        <v>13215.2</v>
      </c>
      <c r="AE4" s="71">
        <v>12393.6</v>
      </c>
      <c r="AF4" s="71">
        <v>11410</v>
      </c>
      <c r="AG4" s="71"/>
      <c r="AH4" s="108">
        <f t="shared" ref="AH4:AH28" si="1">SUM(C4:AG4)</f>
        <v>344510.60000000003</v>
      </c>
      <c r="AJ4" s="69" t="s">
        <v>30</v>
      </c>
      <c r="AK4" s="70" t="s">
        <v>31</v>
      </c>
      <c r="AL4" s="210"/>
      <c r="AM4" s="210"/>
      <c r="AN4" s="59" t="s">
        <v>234</v>
      </c>
    </row>
    <row r="5" spans="1:40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40" s="464" customFormat="1" x14ac:dyDescent="0.25">
      <c r="A6" s="162" t="s">
        <v>152</v>
      </c>
      <c r="B6" s="163" t="s">
        <v>231</v>
      </c>
      <c r="C6" s="476">
        <v>768</v>
      </c>
      <c r="D6" s="477">
        <v>712.5</v>
      </c>
      <c r="E6" s="477">
        <v>310</v>
      </c>
      <c r="F6" s="477"/>
      <c r="G6" s="477">
        <v>417.5</v>
      </c>
      <c r="H6" s="477">
        <v>1535</v>
      </c>
      <c r="I6" s="477">
        <v>425</v>
      </c>
      <c r="J6" s="477">
        <v>300</v>
      </c>
      <c r="K6" s="477">
        <v>350.86</v>
      </c>
      <c r="L6" s="477">
        <v>310</v>
      </c>
      <c r="M6" s="477">
        <v>-50</v>
      </c>
      <c r="N6" s="477">
        <v>400</v>
      </c>
      <c r="O6" s="477">
        <v>360</v>
      </c>
      <c r="P6" s="477">
        <v>595</v>
      </c>
      <c r="Q6" s="477">
        <v>535</v>
      </c>
      <c r="R6" s="477">
        <v>88</v>
      </c>
      <c r="S6" s="477">
        <v>956.5</v>
      </c>
      <c r="T6" s="477">
        <v>340</v>
      </c>
      <c r="U6" s="477">
        <v>2125</v>
      </c>
      <c r="V6" s="477">
        <v>175</v>
      </c>
      <c r="W6" s="477">
        <v>435</v>
      </c>
      <c r="X6" s="477">
        <v>465</v>
      </c>
      <c r="Y6" s="477">
        <v>693</v>
      </c>
      <c r="Z6" s="477">
        <v>421</v>
      </c>
      <c r="AA6" s="477">
        <v>615</v>
      </c>
      <c r="AB6" s="477"/>
      <c r="AC6" s="477">
        <v>490</v>
      </c>
      <c r="AD6" s="477">
        <v>1695</v>
      </c>
      <c r="AE6" s="477">
        <v>1147.5</v>
      </c>
      <c r="AF6" s="477">
        <v>884</v>
      </c>
      <c r="AG6" s="477"/>
      <c r="AH6" s="108">
        <f>SUM(C6:AG6)</f>
        <v>17498.86</v>
      </c>
      <c r="AI6" s="62"/>
      <c r="AJ6" s="162" t="s">
        <v>152</v>
      </c>
      <c r="AK6" s="163" t="s">
        <v>192</v>
      </c>
      <c r="AM6" s="478"/>
    </row>
    <row r="7" spans="1:40" s="464" customFormat="1" x14ac:dyDescent="0.25">
      <c r="A7" s="162" t="s">
        <v>152</v>
      </c>
      <c r="B7" s="163" t="s">
        <v>222</v>
      </c>
      <c r="C7" s="476">
        <v>1260</v>
      </c>
      <c r="D7" s="477">
        <v>1260</v>
      </c>
      <c r="E7" s="477">
        <v>2040</v>
      </c>
      <c r="F7" s="477">
        <v>1440</v>
      </c>
      <c r="G7" s="477">
        <v>1040</v>
      </c>
      <c r="H7" s="477">
        <v>720</v>
      </c>
      <c r="I7" s="477">
        <v>1680</v>
      </c>
      <c r="J7" s="477">
        <v>540</v>
      </c>
      <c r="K7" s="477">
        <v>1940</v>
      </c>
      <c r="L7" s="477">
        <v>1580</v>
      </c>
      <c r="M7" s="477">
        <v>1720</v>
      </c>
      <c r="N7" s="477">
        <v>1760</v>
      </c>
      <c r="O7" s="477">
        <v>1500</v>
      </c>
      <c r="P7" s="477">
        <v>1580</v>
      </c>
      <c r="Q7" s="477">
        <v>1580</v>
      </c>
      <c r="R7" s="477">
        <v>360</v>
      </c>
      <c r="S7" s="477">
        <v>3900</v>
      </c>
      <c r="T7" s="477">
        <v>1800</v>
      </c>
      <c r="U7" s="477">
        <v>2620</v>
      </c>
      <c r="V7" s="477">
        <v>1580</v>
      </c>
      <c r="W7" s="477">
        <v>1540</v>
      </c>
      <c r="X7" s="477">
        <v>2300</v>
      </c>
      <c r="Y7" s="477">
        <v>2220</v>
      </c>
      <c r="Z7" s="477">
        <v>1260</v>
      </c>
      <c r="AA7" s="477">
        <v>2440</v>
      </c>
      <c r="AB7" s="477">
        <v>1540</v>
      </c>
      <c r="AC7" s="477">
        <v>2080</v>
      </c>
      <c r="AD7" s="477">
        <v>1800</v>
      </c>
      <c r="AE7" s="477">
        <v>360</v>
      </c>
      <c r="AF7" s="477">
        <v>1940</v>
      </c>
      <c r="AG7" s="477"/>
      <c r="AH7" s="108">
        <f>SUM(C7:AG7)</f>
        <v>49380</v>
      </c>
      <c r="AI7" s="62"/>
      <c r="AJ7" s="162" t="s">
        <v>152</v>
      </c>
      <c r="AK7" s="163" t="s">
        <v>222</v>
      </c>
      <c r="AM7" s="478"/>
    </row>
    <row r="8" spans="1:40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40" x14ac:dyDescent="0.25">
      <c r="A9" s="69" t="s">
        <v>173</v>
      </c>
      <c r="B9" s="70" t="s">
        <v>63</v>
      </c>
      <c r="C9" s="71">
        <v>303</v>
      </c>
      <c r="D9" s="72">
        <v>231</v>
      </c>
      <c r="E9" s="72">
        <v>484</v>
      </c>
      <c r="F9" s="72">
        <v>439</v>
      </c>
      <c r="G9" s="72">
        <v>510</v>
      </c>
      <c r="H9" s="72">
        <v>559</v>
      </c>
      <c r="I9" s="72">
        <v>310</v>
      </c>
      <c r="J9" s="72">
        <v>728</v>
      </c>
      <c r="K9" s="72">
        <v>578</v>
      </c>
      <c r="L9" s="72">
        <v>670</v>
      </c>
      <c r="M9" s="72">
        <v>754</v>
      </c>
      <c r="N9" s="72">
        <v>557</v>
      </c>
      <c r="O9" s="72">
        <v>361</v>
      </c>
      <c r="P9" s="72">
        <v>381</v>
      </c>
      <c r="Q9" s="72">
        <v>627</v>
      </c>
      <c r="R9" s="72">
        <v>330</v>
      </c>
      <c r="S9" s="72">
        <v>869</v>
      </c>
      <c r="T9" s="72">
        <v>927</v>
      </c>
      <c r="U9" s="72">
        <v>755</v>
      </c>
      <c r="V9" s="72">
        <v>610</v>
      </c>
      <c r="W9" s="72">
        <v>785</v>
      </c>
      <c r="X9" s="72">
        <v>860</v>
      </c>
      <c r="Y9" s="72">
        <v>811</v>
      </c>
      <c r="Z9" s="72">
        <v>859</v>
      </c>
      <c r="AA9" s="72">
        <v>749</v>
      </c>
      <c r="AB9" s="72">
        <v>906</v>
      </c>
      <c r="AC9" s="72">
        <v>808</v>
      </c>
      <c r="AD9" s="72">
        <v>822</v>
      </c>
      <c r="AE9" s="72">
        <v>825</v>
      </c>
      <c r="AF9" s="72">
        <v>724</v>
      </c>
      <c r="AG9" s="72"/>
      <c r="AH9" s="108">
        <f>SUM(C9:AG9)</f>
        <v>19132</v>
      </c>
      <c r="AJ9" s="69" t="s">
        <v>173</v>
      </c>
      <c r="AK9" s="70" t="s">
        <v>63</v>
      </c>
      <c r="AM9" s="210"/>
    </row>
    <row r="10" spans="1:40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40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40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40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40" s="464" customFormat="1" x14ac:dyDescent="0.25">
      <c r="A14" s="162" t="s">
        <v>34</v>
      </c>
      <c r="B14" s="163" t="s">
        <v>227</v>
      </c>
      <c r="C14" s="476">
        <v>69</v>
      </c>
      <c r="D14" s="477">
        <v>4</v>
      </c>
      <c r="E14" s="477">
        <v>66</v>
      </c>
      <c r="F14" s="477">
        <v>20</v>
      </c>
      <c r="G14" s="477">
        <v>109</v>
      </c>
      <c r="H14" s="477">
        <v>16</v>
      </c>
      <c r="I14" s="477">
        <v>116</v>
      </c>
      <c r="J14" s="477">
        <v>109</v>
      </c>
      <c r="K14" s="477">
        <v>36</v>
      </c>
      <c r="L14" s="477">
        <v>93</v>
      </c>
      <c r="M14" s="477">
        <v>65</v>
      </c>
      <c r="N14" s="477">
        <v>53</v>
      </c>
      <c r="O14" s="477">
        <v>71</v>
      </c>
      <c r="P14" s="477">
        <v>63</v>
      </c>
      <c r="Q14" s="477">
        <v>46</v>
      </c>
      <c r="R14" s="477">
        <v>86</v>
      </c>
      <c r="S14" s="477">
        <v>55</v>
      </c>
      <c r="T14" s="477">
        <v>142</v>
      </c>
      <c r="U14" s="477">
        <v>93</v>
      </c>
      <c r="V14" s="477">
        <v>64</v>
      </c>
      <c r="W14" s="477">
        <v>72</v>
      </c>
      <c r="X14" s="477">
        <v>125</v>
      </c>
      <c r="Y14" s="477">
        <v>56</v>
      </c>
      <c r="Z14" s="477">
        <v>4</v>
      </c>
      <c r="AA14" s="477">
        <v>12</v>
      </c>
      <c r="AB14" s="477">
        <v>8</v>
      </c>
      <c r="AC14" s="477">
        <v>279</v>
      </c>
      <c r="AD14" s="477">
        <v>20</v>
      </c>
      <c r="AE14" s="477">
        <v>93</v>
      </c>
      <c r="AF14" s="477">
        <v>82</v>
      </c>
      <c r="AG14" s="477"/>
      <c r="AH14" s="108">
        <f t="shared" si="1"/>
        <v>2127</v>
      </c>
      <c r="AI14" s="62"/>
      <c r="AJ14" s="162" t="s">
        <v>34</v>
      </c>
      <c r="AK14" s="163" t="s">
        <v>35</v>
      </c>
    </row>
    <row r="15" spans="1:40" s="464" customFormat="1" x14ac:dyDescent="0.25">
      <c r="A15" s="162" t="s">
        <v>36</v>
      </c>
      <c r="B15" s="163" t="s">
        <v>37</v>
      </c>
      <c r="C15" s="476">
        <v>501.5</v>
      </c>
      <c r="D15" s="477">
        <v>456.74</v>
      </c>
      <c r="E15" s="477">
        <v>753.85</v>
      </c>
      <c r="F15" s="477">
        <v>813.57</v>
      </c>
      <c r="G15" s="477">
        <v>528.95000000000005</v>
      </c>
      <c r="H15" s="477">
        <v>320.14999999999998</v>
      </c>
      <c r="I15" s="477">
        <v>679.55</v>
      </c>
      <c r="J15" s="477">
        <v>998.31</v>
      </c>
      <c r="K15" s="477">
        <v>648.30999999999995</v>
      </c>
      <c r="L15" s="477">
        <v>1065.27</v>
      </c>
      <c r="M15" s="477">
        <v>1017.38</v>
      </c>
      <c r="N15" s="477">
        <v>544.49</v>
      </c>
      <c r="O15" s="477">
        <f>585.72-9.14</f>
        <v>576.58000000000004</v>
      </c>
      <c r="P15" s="477">
        <v>525.25</v>
      </c>
      <c r="Q15" s="477">
        <v>574.53</v>
      </c>
      <c r="R15" s="477">
        <v>707.61</v>
      </c>
      <c r="S15" s="477">
        <v>1433.43</v>
      </c>
      <c r="T15" s="477">
        <v>1390.66</v>
      </c>
      <c r="U15" s="477">
        <v>753.42</v>
      </c>
      <c r="V15" s="477">
        <v>751.74</v>
      </c>
      <c r="W15" s="477">
        <f>1281.78-18.28</f>
        <v>1263.5</v>
      </c>
      <c r="X15" s="477">
        <v>742.45</v>
      </c>
      <c r="Y15" s="477">
        <v>804.51</v>
      </c>
      <c r="Z15" s="477">
        <v>1076.47</v>
      </c>
      <c r="AA15" s="477">
        <v>954.21</v>
      </c>
      <c r="AB15" s="477">
        <v>930.79</v>
      </c>
      <c r="AC15" s="477">
        <v>747.83</v>
      </c>
      <c r="AD15" s="477">
        <v>848.53</v>
      </c>
      <c r="AE15" s="477">
        <v>625.83000000000004</v>
      </c>
      <c r="AF15" s="477">
        <v>682.38</v>
      </c>
      <c r="AG15" s="477"/>
      <c r="AH15" s="108">
        <f t="shared" si="1"/>
        <v>23717.790000000005</v>
      </c>
      <c r="AI15" s="62"/>
      <c r="AJ15" s="162" t="s">
        <v>36</v>
      </c>
      <c r="AK15" s="163" t="s">
        <v>37</v>
      </c>
    </row>
    <row r="16" spans="1:40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>
        <v>518</v>
      </c>
      <c r="D18" s="477">
        <v>357.5</v>
      </c>
      <c r="E18" s="477">
        <v>725</v>
      </c>
      <c r="F18" s="477">
        <v>300</v>
      </c>
      <c r="G18" s="477">
        <v>346.5</v>
      </c>
      <c r="H18" s="477"/>
      <c r="I18" s="477">
        <v>100</v>
      </c>
      <c r="J18" s="477">
        <v>370</v>
      </c>
      <c r="K18" s="477">
        <v>205</v>
      </c>
      <c r="L18" s="477">
        <v>269</v>
      </c>
      <c r="M18" s="477">
        <v>24</v>
      </c>
      <c r="N18" s="477">
        <v>160</v>
      </c>
      <c r="O18" s="477">
        <v>100</v>
      </c>
      <c r="P18" s="477">
        <v>635</v>
      </c>
      <c r="Q18" s="477">
        <v>200</v>
      </c>
      <c r="R18" s="477"/>
      <c r="S18" s="477">
        <v>135.5</v>
      </c>
      <c r="T18" s="477"/>
      <c r="U18" s="477">
        <v>698</v>
      </c>
      <c r="V18" s="477">
        <v>40</v>
      </c>
      <c r="W18" s="477">
        <v>24</v>
      </c>
      <c r="X18" s="477">
        <v>760</v>
      </c>
      <c r="Y18" s="477">
        <v>250</v>
      </c>
      <c r="Z18" s="477">
        <v>293</v>
      </c>
      <c r="AA18" s="477">
        <v>72</v>
      </c>
      <c r="AB18" s="477">
        <v>300</v>
      </c>
      <c r="AC18" s="477">
        <v>136</v>
      </c>
      <c r="AD18" s="477">
        <v>839</v>
      </c>
      <c r="AE18" s="477">
        <v>1051.5</v>
      </c>
      <c r="AF18" s="477">
        <v>118</v>
      </c>
      <c r="AG18" s="477"/>
      <c r="AH18" s="108">
        <f t="shared" si="1"/>
        <v>9027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>
        <v>135</v>
      </c>
      <c r="O20" s="477">
        <v>180</v>
      </c>
      <c r="P20" s="477">
        <v>225</v>
      </c>
      <c r="Q20" s="477">
        <v>90</v>
      </c>
      <c r="R20" s="477"/>
      <c r="S20" s="477"/>
      <c r="T20" s="477"/>
      <c r="U20" s="477">
        <v>45</v>
      </c>
      <c r="V20" s="477">
        <v>135</v>
      </c>
      <c r="W20" s="477"/>
      <c r="X20" s="477">
        <v>45</v>
      </c>
      <c r="Y20" s="477"/>
      <c r="Z20" s="477"/>
      <c r="AA20" s="477">
        <v>45</v>
      </c>
      <c r="AB20" s="477"/>
      <c r="AC20" s="477">
        <v>45</v>
      </c>
      <c r="AD20" s="477"/>
      <c r="AE20" s="477"/>
      <c r="AF20" s="477"/>
      <c r="AG20" s="477"/>
      <c r="AH20" s="108">
        <f>SUM(C20:AG20)</f>
        <v>945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>
        <v>90</v>
      </c>
      <c r="O21" s="477"/>
      <c r="P21" s="477">
        <v>180</v>
      </c>
      <c r="Q21" s="477"/>
      <c r="R21" s="477"/>
      <c r="S21" s="477">
        <v>90</v>
      </c>
      <c r="T21" s="477">
        <v>45</v>
      </c>
      <c r="U21" s="477">
        <v>45</v>
      </c>
      <c r="V21" s="477">
        <v>45</v>
      </c>
      <c r="W21" s="477">
        <v>45</v>
      </c>
      <c r="X21" s="477"/>
      <c r="Y21" s="477">
        <v>45</v>
      </c>
      <c r="Z21" s="477"/>
      <c r="AA21" s="477"/>
      <c r="AB21" s="477">
        <v>45</v>
      </c>
      <c r="AC21" s="477"/>
      <c r="AD21" s="477"/>
      <c r="AE21" s="477">
        <v>45</v>
      </c>
      <c r="AF21" s="477"/>
      <c r="AG21" s="477"/>
      <c r="AH21" s="108">
        <f t="shared" si="1"/>
        <v>675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>
        <v>26</v>
      </c>
      <c r="V28" s="80"/>
      <c r="W28" s="80"/>
      <c r="X28" s="80"/>
      <c r="Y28" s="80"/>
      <c r="Z28" s="80"/>
      <c r="AA28" s="80"/>
      <c r="AB28" s="80"/>
      <c r="AC28" s="80">
        <v>52</v>
      </c>
      <c r="AD28" s="80"/>
      <c r="AE28" s="80"/>
      <c r="AF28" s="80"/>
      <c r="AG28" s="80"/>
      <c r="AH28" s="108">
        <f t="shared" si="1"/>
        <v>78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9331.66</v>
      </c>
      <c r="D29" s="107">
        <f t="shared" si="3"/>
        <v>9163.51</v>
      </c>
      <c r="E29" s="107">
        <f t="shared" si="3"/>
        <v>14004.240000000002</v>
      </c>
      <c r="F29" s="107">
        <f t="shared" si="3"/>
        <v>14430.95</v>
      </c>
      <c r="G29" s="107">
        <f t="shared" si="3"/>
        <v>10947.880000000001</v>
      </c>
      <c r="H29" s="107">
        <f t="shared" si="3"/>
        <v>11373.31</v>
      </c>
      <c r="I29" s="107">
        <f t="shared" si="3"/>
        <v>10524.64</v>
      </c>
      <c r="J29" s="107">
        <f t="shared" si="3"/>
        <v>12878.14</v>
      </c>
      <c r="K29" s="107">
        <f t="shared" si="3"/>
        <v>12653.51</v>
      </c>
      <c r="L29" s="107">
        <f t="shared" si="3"/>
        <v>17821.560000000001</v>
      </c>
      <c r="M29" s="107">
        <f t="shared" si="3"/>
        <v>14906.509999999998</v>
      </c>
      <c r="N29" s="107">
        <f t="shared" si="3"/>
        <v>14690.93</v>
      </c>
      <c r="O29" s="107">
        <f t="shared" si="3"/>
        <v>11603.08</v>
      </c>
      <c r="P29" s="107">
        <f t="shared" si="3"/>
        <v>13798.439999999999</v>
      </c>
      <c r="Q29" s="107">
        <f t="shared" si="3"/>
        <v>14712.470000000001</v>
      </c>
      <c r="R29" s="107">
        <f t="shared" si="3"/>
        <v>9270.2000000000007</v>
      </c>
      <c r="S29" s="107">
        <f t="shared" si="3"/>
        <v>27673.239999999998</v>
      </c>
      <c r="T29" s="107">
        <f t="shared" si="3"/>
        <v>22611.059999999998</v>
      </c>
      <c r="U29" s="107">
        <f t="shared" si="3"/>
        <v>20268.509999999998</v>
      </c>
      <c r="V29" s="107">
        <f t="shared" si="3"/>
        <v>15450.31</v>
      </c>
      <c r="W29" s="107">
        <f t="shared" si="3"/>
        <v>18819.169999999998</v>
      </c>
      <c r="X29" s="107">
        <f t="shared" si="3"/>
        <v>18410.149999999998</v>
      </c>
      <c r="Y29" s="107">
        <f t="shared" si="3"/>
        <v>18223.740000000002</v>
      </c>
      <c r="Z29" s="107">
        <f t="shared" si="3"/>
        <v>20307.73</v>
      </c>
      <c r="AA29" s="107">
        <f t="shared" si="3"/>
        <v>18478.269999999997</v>
      </c>
      <c r="AB29" s="107">
        <f t="shared" si="3"/>
        <v>17559.599999999999</v>
      </c>
      <c r="AC29" s="107">
        <f t="shared" si="3"/>
        <v>17713.600000000002</v>
      </c>
      <c r="AD29" s="107">
        <f t="shared" si="3"/>
        <v>19328.62</v>
      </c>
      <c r="AE29" s="107">
        <f t="shared" si="3"/>
        <v>16604.830000000002</v>
      </c>
      <c r="AF29" s="107">
        <f t="shared" si="3"/>
        <v>15907.75</v>
      </c>
      <c r="AG29" s="107">
        <f t="shared" si="3"/>
        <v>0</v>
      </c>
      <c r="AH29" s="109">
        <f>SUM(C3:AG28)</f>
        <v>469467.61000000004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9331.66</v>
      </c>
      <c r="D30" s="72">
        <v>9181.51</v>
      </c>
      <c r="E30" s="72">
        <v>14004.24</v>
      </c>
      <c r="F30" s="72">
        <v>14463.75</v>
      </c>
      <c r="G30" s="72">
        <v>10947.88</v>
      </c>
      <c r="H30" s="72">
        <v>11373.31</v>
      </c>
      <c r="I30" s="72">
        <v>10524.64</v>
      </c>
      <c r="J30" s="72">
        <v>12878.14</v>
      </c>
      <c r="K30" s="72">
        <v>12653.51</v>
      </c>
      <c r="L30" s="72">
        <v>17821.560000000001</v>
      </c>
      <c r="M30" s="72">
        <v>14906.51</v>
      </c>
      <c r="N30" s="72">
        <v>14690.93</v>
      </c>
      <c r="O30" s="72">
        <v>11613.08</v>
      </c>
      <c r="P30" s="72">
        <v>13798.44</v>
      </c>
      <c r="Q30" s="72">
        <v>14712.47</v>
      </c>
      <c r="R30" s="72">
        <v>9270.2000000000007</v>
      </c>
      <c r="S30" s="72">
        <v>27673.24</v>
      </c>
      <c r="T30" s="72">
        <v>22611.06</v>
      </c>
      <c r="U30" s="72">
        <v>20268.509999999998</v>
      </c>
      <c r="V30" s="72">
        <v>15450.31</v>
      </c>
      <c r="W30" s="72">
        <v>19248.37</v>
      </c>
      <c r="X30" s="72">
        <v>18410.150000000001</v>
      </c>
      <c r="Y30" s="72">
        <v>18223.740000000002</v>
      </c>
      <c r="Z30" s="72">
        <v>20307.73</v>
      </c>
      <c r="AA30" s="72">
        <v>18478.27</v>
      </c>
      <c r="AB30" s="72">
        <v>17559.599999999999</v>
      </c>
      <c r="AC30" s="72">
        <v>17713.599999999999</v>
      </c>
      <c r="AD30" s="72">
        <v>19328.62</v>
      </c>
      <c r="AE30" s="72">
        <v>16604.830000000002</v>
      </c>
      <c r="AF30" s="72">
        <v>15907.75</v>
      </c>
      <c r="AG30" s="72"/>
      <c r="AH30" s="191">
        <f>SUM(C30:AG30)</f>
        <v>469957.60999999993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G31" si="4">C29-C30</f>
        <v>0</v>
      </c>
      <c r="D31" s="133">
        <f t="shared" si="4"/>
        <v>-18</v>
      </c>
      <c r="E31" s="133">
        <f t="shared" si="4"/>
        <v>0</v>
      </c>
      <c r="F31" s="133">
        <f t="shared" si="4"/>
        <v>-32.799999999999272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-10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-429.20000000000073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>AH29-AH30</f>
        <v>-489.99999999988358</v>
      </c>
      <c r="AI31" s="85"/>
      <c r="AJ31" s="511" t="s">
        <v>127</v>
      </c>
      <c r="AK31" s="512"/>
      <c r="AL31" s="512"/>
      <c r="AM31" s="513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1">
        <v>987</v>
      </c>
      <c r="D33" s="391">
        <v>782.7</v>
      </c>
      <c r="E33" s="391">
        <v>1514.88</v>
      </c>
      <c r="F33" s="391">
        <v>3633.59</v>
      </c>
      <c r="G33" s="391">
        <v>1341.63</v>
      </c>
      <c r="H33" s="391">
        <v>1137.01</v>
      </c>
      <c r="I33" s="391">
        <v>1264.8900000000001</v>
      </c>
      <c r="J33" s="391">
        <f>1309.56+30</f>
        <v>1339.56</v>
      </c>
      <c r="K33" s="391">
        <v>1026.69</v>
      </c>
      <c r="L33" s="391">
        <v>2864.46</v>
      </c>
      <c r="M33" s="391">
        <v>2660.21</v>
      </c>
      <c r="N33" s="391">
        <v>1733.75</v>
      </c>
      <c r="O33" s="391">
        <v>1838.61</v>
      </c>
      <c r="P33" s="391">
        <v>1309.43</v>
      </c>
      <c r="Q33" s="391">
        <v>1324.27</v>
      </c>
      <c r="R33" s="391">
        <v>1668.1</v>
      </c>
      <c r="S33" s="391">
        <v>3241.52</v>
      </c>
      <c r="T33" s="391">
        <v>4319.33</v>
      </c>
      <c r="U33" s="391">
        <v>2409.33</v>
      </c>
      <c r="V33" s="391">
        <f>3012.79+135</f>
        <v>3147.79</v>
      </c>
      <c r="W33" s="391">
        <v>3088.89</v>
      </c>
      <c r="X33" s="391">
        <v>2856.99</v>
      </c>
      <c r="Y33" s="391">
        <v>2356.4699999999998</v>
      </c>
      <c r="Z33" s="391">
        <v>3259.89</v>
      </c>
      <c r="AA33" s="391">
        <v>2851.7</v>
      </c>
      <c r="AB33" s="391">
        <v>2184.37</v>
      </c>
      <c r="AC33" s="391">
        <v>2976</v>
      </c>
      <c r="AD33" s="391">
        <v>2229.67</v>
      </c>
      <c r="AE33" s="391">
        <v>2334.34</v>
      </c>
      <c r="AF33" s="392">
        <v>2012.63</v>
      </c>
      <c r="AG33" s="392"/>
      <c r="AH33" s="110">
        <f>SUM(C33:AG33)</f>
        <v>65695.7</v>
      </c>
      <c r="AJ33" s="137" t="s">
        <v>60</v>
      </c>
      <c r="AK33" s="138" t="s">
        <v>122</v>
      </c>
      <c r="AL33" s="386">
        <f>SUM(C33:AE33)</f>
        <v>63683.069999999992</v>
      </c>
      <c r="AM33" s="387">
        <f>SUM(AF33:AG33)</f>
        <v>2012.63</v>
      </c>
    </row>
    <row r="34" spans="1:40" x14ac:dyDescent="0.25">
      <c r="A34" s="90" t="s">
        <v>60</v>
      </c>
      <c r="B34" s="91" t="s">
        <v>55</v>
      </c>
      <c r="C34" s="481">
        <v>7779.04</v>
      </c>
      <c r="D34" s="481">
        <v>8934.86</v>
      </c>
      <c r="E34" s="481">
        <v>12515.33</v>
      </c>
      <c r="F34" s="481">
        <v>10505.85</v>
      </c>
      <c r="G34" s="481">
        <v>9664.25</v>
      </c>
      <c r="H34" s="481">
        <v>10240.879999999999</v>
      </c>
      <c r="I34" s="481">
        <v>9240.1299999999992</v>
      </c>
      <c r="J34" s="481">
        <v>11542.06</v>
      </c>
      <c r="K34" s="481">
        <v>11629.94</v>
      </c>
      <c r="L34" s="481">
        <v>14863.49</v>
      </c>
      <c r="M34" s="481">
        <v>12453.34</v>
      </c>
      <c r="N34" s="481">
        <v>12961.63</v>
      </c>
      <c r="O34" s="481">
        <v>9559.0400000000009</v>
      </c>
      <c r="P34" s="481">
        <v>12481.31</v>
      </c>
      <c r="Q34" s="481">
        <v>13402.2</v>
      </c>
      <c r="R34" s="481">
        <v>7587.88</v>
      </c>
      <c r="S34" s="481">
        <v>24332.6</v>
      </c>
      <c r="T34" s="481">
        <v>18306.73</v>
      </c>
      <c r="U34" s="481">
        <v>17857.900000000001</v>
      </c>
      <c r="V34" s="481">
        <v>12314.13</v>
      </c>
      <c r="W34" s="481">
        <v>15734.08</v>
      </c>
      <c r="X34" s="481">
        <v>15620.52</v>
      </c>
      <c r="Y34" s="481">
        <v>15857.53</v>
      </c>
      <c r="Z34" s="481">
        <v>17023.64</v>
      </c>
      <c r="AA34" s="481">
        <v>15600.77</v>
      </c>
      <c r="AB34" s="496">
        <v>15357.8</v>
      </c>
      <c r="AC34" s="496">
        <v>14737.92</v>
      </c>
      <c r="AD34" s="496">
        <v>17089.68</v>
      </c>
      <c r="AE34" s="496">
        <v>14270.9</v>
      </c>
      <c r="AF34" s="496">
        <v>13895.13</v>
      </c>
      <c r="AG34" s="390"/>
      <c r="AH34" s="111">
        <f t="shared" ref="AH34:AH38" si="5">SUM(C34:AG34)</f>
        <v>403360.56000000011</v>
      </c>
      <c r="AJ34" s="129" t="s">
        <v>60</v>
      </c>
      <c r="AK34" s="130" t="s">
        <v>198</v>
      </c>
      <c r="AL34" s="290">
        <f>SUM(C34:AA34)-AL45</f>
        <v>318090.8000000001</v>
      </c>
      <c r="AM34" s="291">
        <f>SUM(AB34:AG34)-AM45</f>
        <v>73074.91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80">
        <v>200</v>
      </c>
      <c r="G35" s="380"/>
      <c r="H35" s="380"/>
      <c r="I35" s="380"/>
      <c r="J35" s="380"/>
      <c r="K35" s="380"/>
      <c r="L35" s="380"/>
      <c r="M35" s="380">
        <v>-200</v>
      </c>
      <c r="N35" s="488">
        <v>0.01</v>
      </c>
      <c r="O35" s="488">
        <f>114+141</f>
        <v>255</v>
      </c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255.01</v>
      </c>
      <c r="AJ35" s="129" t="s">
        <v>60</v>
      </c>
      <c r="AK35" s="130" t="s">
        <v>123</v>
      </c>
      <c r="AL35" s="290">
        <f>SUM(C35:AD35)</f>
        <v>255.01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>
        <v>2.1800000000000002</v>
      </c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2.1800000000000002</v>
      </c>
      <c r="AJ37" s="129" t="s">
        <v>67</v>
      </c>
      <c r="AK37" s="130" t="s">
        <v>91</v>
      </c>
      <c r="AL37" s="269">
        <f>AH37</f>
        <v>2.1800000000000002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>
        <v>42</v>
      </c>
      <c r="H38" s="382"/>
      <c r="I38" s="382"/>
      <c r="J38" s="382"/>
      <c r="K38" s="382"/>
      <c r="L38" s="382"/>
      <c r="M38" s="382"/>
      <c r="N38" s="382"/>
      <c r="O38" s="382"/>
      <c r="P38" s="382">
        <v>8.4</v>
      </c>
      <c r="Q38" s="382"/>
      <c r="R38" s="382"/>
      <c r="S38" s="382"/>
      <c r="T38" s="382">
        <v>36</v>
      </c>
      <c r="U38" s="382"/>
      <c r="V38" s="382"/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86.4</v>
      </c>
      <c r="AJ38" s="129" t="s">
        <v>109</v>
      </c>
      <c r="AK38" s="130" t="s">
        <v>156</v>
      </c>
      <c r="AL38" s="269">
        <f>AH38</f>
        <v>86.4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8766.0400000000009</v>
      </c>
      <c r="D39" s="107">
        <f t="shared" si="6"/>
        <v>9717.5600000000013</v>
      </c>
      <c r="E39" s="107">
        <f t="shared" si="6"/>
        <v>14030.21</v>
      </c>
      <c r="F39" s="107">
        <f t="shared" si="6"/>
        <v>14339.44</v>
      </c>
      <c r="G39" s="107">
        <f t="shared" si="6"/>
        <v>11047.880000000001</v>
      </c>
      <c r="H39" s="107">
        <f t="shared" si="6"/>
        <v>11377.89</v>
      </c>
      <c r="I39" s="107">
        <f t="shared" si="6"/>
        <v>10505.019999999999</v>
      </c>
      <c r="J39" s="107">
        <f t="shared" si="6"/>
        <v>12881.619999999999</v>
      </c>
      <c r="K39" s="107">
        <f t="shared" si="6"/>
        <v>12656.630000000001</v>
      </c>
      <c r="L39" s="107">
        <f t="shared" si="6"/>
        <v>17727.95</v>
      </c>
      <c r="M39" s="107">
        <f t="shared" si="6"/>
        <v>14913.55</v>
      </c>
      <c r="N39" s="107">
        <f t="shared" si="6"/>
        <v>14697.57</v>
      </c>
      <c r="O39" s="107">
        <f t="shared" si="6"/>
        <v>11652.650000000001</v>
      </c>
      <c r="P39" s="107">
        <f t="shared" si="6"/>
        <v>13799.14</v>
      </c>
      <c r="Q39" s="107">
        <f t="shared" si="6"/>
        <v>14726.470000000001</v>
      </c>
      <c r="R39" s="107">
        <f t="shared" si="6"/>
        <v>9255.98</v>
      </c>
      <c r="S39" s="107">
        <f t="shared" si="6"/>
        <v>27574.12</v>
      </c>
      <c r="T39" s="107">
        <f t="shared" si="6"/>
        <v>22662.059999999998</v>
      </c>
      <c r="U39" s="107">
        <f t="shared" si="6"/>
        <v>20267.230000000003</v>
      </c>
      <c r="V39" s="107">
        <f t="shared" si="6"/>
        <v>15461.919999999998</v>
      </c>
      <c r="W39" s="107">
        <f t="shared" si="6"/>
        <v>18822.97</v>
      </c>
      <c r="X39" s="107">
        <f t="shared" si="6"/>
        <v>18477.510000000002</v>
      </c>
      <c r="Y39" s="107">
        <f t="shared" si="6"/>
        <v>18214</v>
      </c>
      <c r="Z39" s="107">
        <f t="shared" si="6"/>
        <v>20283.53</v>
      </c>
      <c r="AA39" s="107">
        <f t="shared" si="6"/>
        <v>18452.47</v>
      </c>
      <c r="AB39" s="107">
        <f t="shared" si="6"/>
        <v>17542.169999999998</v>
      </c>
      <c r="AC39" s="107">
        <f t="shared" si="6"/>
        <v>17713.919999999998</v>
      </c>
      <c r="AD39" s="107">
        <f t="shared" si="6"/>
        <v>19319.349999999999</v>
      </c>
      <c r="AE39" s="107">
        <f t="shared" si="6"/>
        <v>16605.239999999998</v>
      </c>
      <c r="AF39" s="107">
        <f t="shared" si="6"/>
        <v>15907.759999999998</v>
      </c>
      <c r="AG39" s="107">
        <f t="shared" si="6"/>
        <v>0</v>
      </c>
      <c r="AH39" s="110">
        <f>SUM(C39:AG39)</f>
        <v>469399.85</v>
      </c>
      <c r="AI39" s="59"/>
      <c r="AJ39" s="507" t="s">
        <v>76</v>
      </c>
      <c r="AK39" s="508"/>
      <c r="AL39" s="509">
        <f>SUM(AL33:AM38)</f>
        <v>457205.00000000017</v>
      </c>
      <c r="AM39" s="510"/>
      <c r="AN39" s="273">
        <f>AL39-AH39+AL45+AM45+AL43</f>
        <v>67.760000000194395</v>
      </c>
    </row>
    <row r="40" spans="1:40" x14ac:dyDescent="0.25">
      <c r="A40" s="203"/>
      <c r="B40" s="194" t="s">
        <v>104</v>
      </c>
      <c r="C40" s="72">
        <f>C30</f>
        <v>9331.66</v>
      </c>
      <c r="D40" s="72">
        <f t="shared" ref="D40:AG40" si="7">D30</f>
        <v>9181.51</v>
      </c>
      <c r="E40" s="72">
        <f t="shared" si="7"/>
        <v>14004.24</v>
      </c>
      <c r="F40" s="72">
        <f t="shared" si="7"/>
        <v>14463.75</v>
      </c>
      <c r="G40" s="72">
        <f t="shared" si="7"/>
        <v>10947.88</v>
      </c>
      <c r="H40" s="72">
        <f t="shared" si="7"/>
        <v>11373.31</v>
      </c>
      <c r="I40" s="72">
        <f t="shared" si="7"/>
        <v>10524.64</v>
      </c>
      <c r="J40" s="72">
        <f t="shared" si="7"/>
        <v>12878.14</v>
      </c>
      <c r="K40" s="72">
        <f t="shared" si="7"/>
        <v>12653.51</v>
      </c>
      <c r="L40" s="72">
        <f t="shared" si="7"/>
        <v>17821.560000000001</v>
      </c>
      <c r="M40" s="72">
        <f t="shared" si="7"/>
        <v>14906.51</v>
      </c>
      <c r="N40" s="72">
        <f t="shared" si="7"/>
        <v>14690.93</v>
      </c>
      <c r="O40" s="72">
        <f t="shared" si="7"/>
        <v>11613.08</v>
      </c>
      <c r="P40" s="72">
        <f t="shared" si="7"/>
        <v>13798.44</v>
      </c>
      <c r="Q40" s="72">
        <f t="shared" si="7"/>
        <v>14712.47</v>
      </c>
      <c r="R40" s="72">
        <f t="shared" si="7"/>
        <v>9270.2000000000007</v>
      </c>
      <c r="S40" s="72">
        <f t="shared" si="7"/>
        <v>27673.24</v>
      </c>
      <c r="T40" s="72">
        <f t="shared" si="7"/>
        <v>22611.06</v>
      </c>
      <c r="U40" s="72">
        <f t="shared" si="7"/>
        <v>20268.509999999998</v>
      </c>
      <c r="V40" s="72">
        <f t="shared" si="7"/>
        <v>15450.31</v>
      </c>
      <c r="W40" s="72">
        <f t="shared" si="7"/>
        <v>19248.37</v>
      </c>
      <c r="X40" s="72">
        <f t="shared" si="7"/>
        <v>18410.150000000001</v>
      </c>
      <c r="Y40" s="72">
        <f t="shared" si="7"/>
        <v>18223.740000000002</v>
      </c>
      <c r="Z40" s="72">
        <f t="shared" si="7"/>
        <v>20307.73</v>
      </c>
      <c r="AA40" s="72">
        <f t="shared" si="7"/>
        <v>18478.27</v>
      </c>
      <c r="AB40" s="72">
        <f t="shared" si="7"/>
        <v>17559.599999999999</v>
      </c>
      <c r="AC40" s="72">
        <f t="shared" si="7"/>
        <v>17713.599999999999</v>
      </c>
      <c r="AD40" s="72">
        <f t="shared" si="7"/>
        <v>19328.62</v>
      </c>
      <c r="AE40" s="72">
        <f t="shared" si="7"/>
        <v>16604.830000000002</v>
      </c>
      <c r="AF40" s="72">
        <f t="shared" si="7"/>
        <v>15907.75</v>
      </c>
      <c r="AG40" s="72">
        <f t="shared" si="7"/>
        <v>0</v>
      </c>
      <c r="AH40" s="111">
        <f t="shared" ref="AH40:AH41" si="8">SUM(C40:AG40)</f>
        <v>469957.60999999993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-565.61999999999898</v>
      </c>
      <c r="D41" s="133">
        <f>D39-D40</f>
        <v>536.05000000000109</v>
      </c>
      <c r="E41" s="133">
        <f>E39-E40</f>
        <v>25.969999999999345</v>
      </c>
      <c r="F41" s="133">
        <f t="shared" ref="F41:AG41" si="9">F39-F40</f>
        <v>-124.30999999999949</v>
      </c>
      <c r="G41" s="133">
        <f t="shared" si="9"/>
        <v>100.00000000000182</v>
      </c>
      <c r="H41" s="133">
        <f t="shared" si="9"/>
        <v>4.5799999999999272</v>
      </c>
      <c r="I41" s="133">
        <f t="shared" si="9"/>
        <v>-19.6200000000008</v>
      </c>
      <c r="J41" s="133">
        <f t="shared" si="9"/>
        <v>3.4799999999995634</v>
      </c>
      <c r="K41" s="133">
        <f t="shared" si="9"/>
        <v>3.1200000000008004</v>
      </c>
      <c r="L41" s="133">
        <f t="shared" si="9"/>
        <v>-93.610000000000582</v>
      </c>
      <c r="M41" s="133">
        <f t="shared" si="9"/>
        <v>7.0399999999990541</v>
      </c>
      <c r="N41" s="133">
        <f t="shared" si="9"/>
        <v>6.6399999999994179</v>
      </c>
      <c r="O41" s="133">
        <f t="shared" si="9"/>
        <v>39.570000000001528</v>
      </c>
      <c r="P41" s="133">
        <f t="shared" si="9"/>
        <v>0.69999999999890861</v>
      </c>
      <c r="Q41" s="133">
        <f t="shared" si="9"/>
        <v>14.000000000001819</v>
      </c>
      <c r="R41" s="133">
        <f t="shared" si="9"/>
        <v>-14.220000000001164</v>
      </c>
      <c r="S41" s="133">
        <f t="shared" si="9"/>
        <v>-99.120000000002619</v>
      </c>
      <c r="T41" s="133">
        <f t="shared" si="9"/>
        <v>50.999999999996362</v>
      </c>
      <c r="U41" s="133">
        <f t="shared" si="9"/>
        <v>-1.2799999999951979</v>
      </c>
      <c r="V41" s="133">
        <f t="shared" si="9"/>
        <v>11.609999999998763</v>
      </c>
      <c r="W41" s="133">
        <f t="shared" si="9"/>
        <v>-425.39999999999782</v>
      </c>
      <c r="X41" s="133">
        <f t="shared" si="9"/>
        <v>67.360000000000582</v>
      </c>
      <c r="Y41" s="133">
        <f t="shared" si="9"/>
        <v>-9.7400000000016007</v>
      </c>
      <c r="Z41" s="133">
        <f t="shared" si="9"/>
        <v>-24.200000000000728</v>
      </c>
      <c r="AA41" s="133">
        <f t="shared" si="9"/>
        <v>-25.799999999999272</v>
      </c>
      <c r="AB41" s="133">
        <f t="shared" si="9"/>
        <v>-17.430000000000291</v>
      </c>
      <c r="AC41" s="133">
        <f t="shared" si="9"/>
        <v>0.31999999999970896</v>
      </c>
      <c r="AD41" s="133">
        <f t="shared" si="9"/>
        <v>-9.2700000000004366</v>
      </c>
      <c r="AE41" s="133">
        <f t="shared" si="9"/>
        <v>0.4099999999962165</v>
      </c>
      <c r="AF41" s="133">
        <f t="shared" si="9"/>
        <v>9.9999999983992893E-3</v>
      </c>
      <c r="AG41" s="133">
        <f t="shared" si="9"/>
        <v>0</v>
      </c>
      <c r="AH41" s="112">
        <f t="shared" si="8"/>
        <v>-557.76000000000568</v>
      </c>
      <c r="AJ41" s="377">
        <f>AH39-AH40</f>
        <v>-557.75999999995111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565.61999999999898</v>
      </c>
      <c r="D43" s="114">
        <f t="shared" si="10"/>
        <v>-554.05000000000109</v>
      </c>
      <c r="E43" s="114">
        <f t="shared" si="10"/>
        <v>-25.969999999997526</v>
      </c>
      <c r="F43" s="114">
        <f t="shared" si="10"/>
        <v>91.510000000000218</v>
      </c>
      <c r="G43" s="114">
        <f t="shared" si="10"/>
        <v>-100</v>
      </c>
      <c r="H43" s="114">
        <f t="shared" si="10"/>
        <v>-4.5799999999999272</v>
      </c>
      <c r="I43" s="114">
        <f t="shared" si="10"/>
        <v>19.6200000000008</v>
      </c>
      <c r="J43" s="114">
        <f t="shared" si="10"/>
        <v>-3.4799999999995634</v>
      </c>
      <c r="K43" s="114">
        <f t="shared" si="10"/>
        <v>-3.1200000000008004</v>
      </c>
      <c r="L43" s="114">
        <f t="shared" si="10"/>
        <v>93.610000000000582</v>
      </c>
      <c r="M43" s="114">
        <f t="shared" si="10"/>
        <v>-7.0400000000008731</v>
      </c>
      <c r="N43" s="114">
        <f t="shared" si="10"/>
        <v>-6.6399999999994179</v>
      </c>
      <c r="O43" s="114">
        <f t="shared" si="10"/>
        <v>-49.570000000001528</v>
      </c>
      <c r="P43" s="114">
        <f t="shared" si="10"/>
        <v>-0.7000000000007276</v>
      </c>
      <c r="Q43" s="114">
        <f t="shared" si="10"/>
        <v>-14</v>
      </c>
      <c r="R43" s="114">
        <f t="shared" si="10"/>
        <v>14.220000000001164</v>
      </c>
      <c r="S43" s="114">
        <f t="shared" si="10"/>
        <v>99.119999999998981</v>
      </c>
      <c r="T43" s="114">
        <f t="shared" si="10"/>
        <v>-51</v>
      </c>
      <c r="U43" s="114">
        <f t="shared" si="10"/>
        <v>1.2799999999951979</v>
      </c>
      <c r="V43" s="114">
        <f t="shared" si="10"/>
        <v>-11.609999999998763</v>
      </c>
      <c r="W43" s="114">
        <f t="shared" si="10"/>
        <v>-3.8000000000029104</v>
      </c>
      <c r="X43" s="114">
        <f t="shared" si="10"/>
        <v>-67.36000000000422</v>
      </c>
      <c r="Y43" s="114">
        <f t="shared" si="10"/>
        <v>9.7400000000016007</v>
      </c>
      <c r="Z43" s="114">
        <f t="shared" si="10"/>
        <v>24.200000000000728</v>
      </c>
      <c r="AA43" s="114">
        <f t="shared" si="10"/>
        <v>25.799999999995634</v>
      </c>
      <c r="AB43" s="114">
        <f t="shared" si="10"/>
        <v>17.430000000000291</v>
      </c>
      <c r="AC43" s="114">
        <f t="shared" si="10"/>
        <v>-0.31999999999607098</v>
      </c>
      <c r="AD43" s="114">
        <f t="shared" si="10"/>
        <v>9.2700000000004366</v>
      </c>
      <c r="AE43" s="114">
        <f t="shared" si="10"/>
        <v>-0.4099999999962165</v>
      </c>
      <c r="AF43" s="114">
        <f t="shared" si="10"/>
        <v>-9.9999999983992893E-3</v>
      </c>
      <c r="AG43" s="114">
        <f t="shared" si="10"/>
        <v>0</v>
      </c>
      <c r="AH43" s="115">
        <f>SUM(C43:AG43)</f>
        <v>67.75999999999658</v>
      </c>
      <c r="AI43" s="62"/>
      <c r="AJ43" s="211" t="s">
        <v>32</v>
      </c>
      <c r="AK43" s="212" t="s">
        <v>90</v>
      </c>
      <c r="AL43" s="271">
        <f>AH43</f>
        <v>67.75999999999658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469467.61000000022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6">
        <v>233.41</v>
      </c>
      <c r="D45" s="486">
        <v>268.54000000000002</v>
      </c>
      <c r="E45" s="486">
        <v>381.09</v>
      </c>
      <c r="F45" s="486">
        <v>315.25</v>
      </c>
      <c r="G45" s="482">
        <v>294.2</v>
      </c>
      <c r="H45" s="486">
        <v>312.64</v>
      </c>
      <c r="I45" s="486">
        <v>278.86</v>
      </c>
      <c r="J45" s="486">
        <v>346.32</v>
      </c>
      <c r="K45" s="486">
        <v>350.03</v>
      </c>
      <c r="L45" s="486">
        <v>445.96</v>
      </c>
      <c r="M45" s="486">
        <v>380.05</v>
      </c>
      <c r="N45" s="486">
        <v>391.72</v>
      </c>
      <c r="O45" s="486">
        <v>286.83</v>
      </c>
      <c r="P45" s="486">
        <v>374.78</v>
      </c>
      <c r="Q45" s="486">
        <v>415.57</v>
      </c>
      <c r="R45" s="486">
        <v>227.62</v>
      </c>
      <c r="S45" s="482">
        <v>731.7</v>
      </c>
      <c r="T45" s="486">
        <v>549.23</v>
      </c>
      <c r="U45" s="486">
        <v>536.86</v>
      </c>
      <c r="V45" s="482">
        <v>399.8</v>
      </c>
      <c r="W45" s="486">
        <v>473.02</v>
      </c>
      <c r="X45" s="486">
        <v>469.41</v>
      </c>
      <c r="Y45" s="486">
        <v>475.77</v>
      </c>
      <c r="Z45" s="486">
        <v>510.74</v>
      </c>
      <c r="AA45" s="486">
        <v>468.93</v>
      </c>
      <c r="AB45" s="500">
        <v>460.76</v>
      </c>
      <c r="AC45" s="500">
        <v>445.51</v>
      </c>
      <c r="AD45" s="500">
        <v>512.73</v>
      </c>
      <c r="AE45" s="500">
        <v>438.95</v>
      </c>
      <c r="AF45" s="500">
        <v>418.57</v>
      </c>
      <c r="AG45" s="281"/>
      <c r="AH45" s="115">
        <f t="shared" ref="AH45" si="11">SUM(C45:AG45)</f>
        <v>12194.85</v>
      </c>
      <c r="AI45" s="62"/>
      <c r="AJ45" s="211" t="s">
        <v>196</v>
      </c>
      <c r="AK45" s="212" t="s">
        <v>197</v>
      </c>
      <c r="AL45" s="271">
        <f>SUM(C45:AA45)</f>
        <v>9918.33</v>
      </c>
      <c r="AM45" s="272">
        <f>SUM(AB45:AG45)</f>
        <v>2276.52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7545.63</v>
      </c>
      <c r="D46" s="479">
        <f t="shared" ref="D46:AG46" si="12">D34-D45</f>
        <v>8666.32</v>
      </c>
      <c r="E46" s="479">
        <f t="shared" si="12"/>
        <v>12134.24</v>
      </c>
      <c r="F46" s="479">
        <f t="shared" si="12"/>
        <v>10190.6</v>
      </c>
      <c r="G46" s="479">
        <f t="shared" si="12"/>
        <v>9370.0499999999993</v>
      </c>
      <c r="H46" s="479">
        <f t="shared" si="12"/>
        <v>9928.24</v>
      </c>
      <c r="I46" s="479">
        <f t="shared" si="12"/>
        <v>8961.2699999999986</v>
      </c>
      <c r="J46" s="479">
        <f t="shared" si="12"/>
        <v>11195.74</v>
      </c>
      <c r="K46" s="479">
        <f t="shared" si="12"/>
        <v>11279.91</v>
      </c>
      <c r="L46" s="479">
        <f t="shared" si="12"/>
        <v>14417.53</v>
      </c>
      <c r="M46" s="479">
        <f t="shared" si="12"/>
        <v>12073.29</v>
      </c>
      <c r="N46" s="479">
        <f t="shared" si="12"/>
        <v>12569.91</v>
      </c>
      <c r="O46" s="479">
        <f t="shared" si="12"/>
        <v>9272.2100000000009</v>
      </c>
      <c r="P46" s="479">
        <f t="shared" si="12"/>
        <v>12106.529999999999</v>
      </c>
      <c r="Q46" s="479">
        <f t="shared" si="12"/>
        <v>12986.630000000001</v>
      </c>
      <c r="R46" s="479">
        <f t="shared" si="12"/>
        <v>7360.26</v>
      </c>
      <c r="S46" s="479">
        <f t="shared" si="12"/>
        <v>23600.899999999998</v>
      </c>
      <c r="T46" s="479">
        <f t="shared" si="12"/>
        <v>17757.5</v>
      </c>
      <c r="U46" s="479">
        <f t="shared" si="12"/>
        <v>17321.04</v>
      </c>
      <c r="V46" s="479">
        <f t="shared" si="12"/>
        <v>11914.33</v>
      </c>
      <c r="W46" s="479">
        <f t="shared" si="12"/>
        <v>15261.06</v>
      </c>
      <c r="X46" s="479">
        <f t="shared" si="12"/>
        <v>15151.11</v>
      </c>
      <c r="Y46" s="479">
        <f t="shared" si="12"/>
        <v>15381.76</v>
      </c>
      <c r="Z46" s="479">
        <f t="shared" si="12"/>
        <v>16512.899999999998</v>
      </c>
      <c r="AA46" s="479">
        <f t="shared" si="12"/>
        <v>15131.84</v>
      </c>
      <c r="AB46" s="479">
        <f t="shared" si="12"/>
        <v>14897.039999999999</v>
      </c>
      <c r="AC46" s="479">
        <f t="shared" si="12"/>
        <v>14292.41</v>
      </c>
      <c r="AD46" s="479">
        <f t="shared" si="12"/>
        <v>16576.95</v>
      </c>
      <c r="AE46" s="479">
        <f t="shared" si="12"/>
        <v>13831.949999999999</v>
      </c>
      <c r="AF46" s="479">
        <f t="shared" si="12"/>
        <v>13476.56</v>
      </c>
      <c r="AG46" s="479">
        <f t="shared" si="12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310</v>
      </c>
      <c r="D47" s="84">
        <v>376</v>
      </c>
      <c r="E47" s="84">
        <v>590</v>
      </c>
      <c r="F47" s="84">
        <v>641</v>
      </c>
      <c r="G47" s="84">
        <v>454</v>
      </c>
      <c r="H47" s="84">
        <v>472</v>
      </c>
      <c r="I47" s="84">
        <v>483</v>
      </c>
      <c r="J47" s="84">
        <v>562</v>
      </c>
      <c r="K47" s="84">
        <v>531</v>
      </c>
      <c r="L47" s="84">
        <v>798</v>
      </c>
      <c r="M47" s="84">
        <v>678</v>
      </c>
      <c r="N47" s="84">
        <v>602</v>
      </c>
      <c r="O47" s="84">
        <v>499</v>
      </c>
      <c r="P47" s="84">
        <v>557</v>
      </c>
      <c r="Q47" s="84">
        <v>640</v>
      </c>
      <c r="R47" s="84">
        <v>427</v>
      </c>
      <c r="S47" s="84">
        <v>1175</v>
      </c>
      <c r="T47" s="84">
        <v>1046</v>
      </c>
      <c r="U47" s="84">
        <v>753</v>
      </c>
      <c r="V47" s="84">
        <v>680</v>
      </c>
      <c r="W47" s="84">
        <v>874</v>
      </c>
      <c r="X47" s="84">
        <v>767</v>
      </c>
      <c r="Y47" s="84">
        <v>819</v>
      </c>
      <c r="Z47" s="84">
        <v>915</v>
      </c>
      <c r="AA47" s="84">
        <v>772</v>
      </c>
      <c r="AB47" s="84">
        <v>743</v>
      </c>
      <c r="AC47" s="84">
        <v>750</v>
      </c>
      <c r="AD47" s="84">
        <v>786</v>
      </c>
      <c r="AE47" s="84">
        <v>772</v>
      </c>
      <c r="AF47" s="84">
        <v>727</v>
      </c>
      <c r="AG47" s="84"/>
      <c r="AH47" s="103">
        <f>SUM(C47:AG47)</f>
        <v>20199</v>
      </c>
      <c r="AJ47" s="126">
        <f>AH47</f>
        <v>20199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55</v>
      </c>
      <c r="D48" s="94">
        <v>69</v>
      </c>
      <c r="E48" s="94">
        <v>83</v>
      </c>
      <c r="F48" s="94">
        <v>116</v>
      </c>
      <c r="G48" s="94">
        <v>99</v>
      </c>
      <c r="H48" s="94">
        <v>66</v>
      </c>
      <c r="I48" s="94">
        <v>69</v>
      </c>
      <c r="J48" s="94">
        <v>88</v>
      </c>
      <c r="K48" s="94">
        <v>112</v>
      </c>
      <c r="L48" s="94">
        <v>97</v>
      </c>
      <c r="M48" s="94">
        <v>118</v>
      </c>
      <c r="N48" s="94">
        <v>80</v>
      </c>
      <c r="O48" s="94">
        <v>86</v>
      </c>
      <c r="P48" s="94">
        <v>83</v>
      </c>
      <c r="Q48" s="94">
        <v>108</v>
      </c>
      <c r="R48" s="94">
        <v>62</v>
      </c>
      <c r="S48" s="94">
        <v>104</v>
      </c>
      <c r="T48" s="94">
        <v>130</v>
      </c>
      <c r="U48" s="94">
        <v>123</v>
      </c>
      <c r="V48" s="94">
        <v>109</v>
      </c>
      <c r="W48" s="94">
        <v>94</v>
      </c>
      <c r="X48" s="94">
        <v>110</v>
      </c>
      <c r="Y48" s="94">
        <v>118</v>
      </c>
      <c r="Z48" s="94">
        <v>129</v>
      </c>
      <c r="AA48" s="94">
        <v>127</v>
      </c>
      <c r="AB48" s="94">
        <v>108</v>
      </c>
      <c r="AC48" s="94">
        <v>90</v>
      </c>
      <c r="AD48" s="94">
        <v>98</v>
      </c>
      <c r="AE48" s="94">
        <v>130</v>
      </c>
      <c r="AF48" s="94">
        <v>146</v>
      </c>
      <c r="AG48" s="94"/>
      <c r="AH48" s="105">
        <f>SUM(C48:AG48)</f>
        <v>3007</v>
      </c>
      <c r="AJ48" s="135">
        <f>AH48</f>
        <v>3007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365</v>
      </c>
      <c r="D50" s="212">
        <f t="shared" ref="D50:AG50" si="13">D47+D48</f>
        <v>445</v>
      </c>
      <c r="E50" s="212">
        <f t="shared" si="13"/>
        <v>673</v>
      </c>
      <c r="F50" s="212">
        <f t="shared" si="13"/>
        <v>757</v>
      </c>
      <c r="G50" s="212">
        <f t="shared" si="13"/>
        <v>553</v>
      </c>
      <c r="H50" s="212">
        <f t="shared" si="13"/>
        <v>538</v>
      </c>
      <c r="I50" s="212">
        <f t="shared" si="13"/>
        <v>552</v>
      </c>
      <c r="J50" s="212">
        <f t="shared" si="13"/>
        <v>650</v>
      </c>
      <c r="K50" s="212">
        <f t="shared" si="13"/>
        <v>643</v>
      </c>
      <c r="L50" s="212">
        <f t="shared" si="13"/>
        <v>895</v>
      </c>
      <c r="M50" s="212">
        <f t="shared" si="13"/>
        <v>796</v>
      </c>
      <c r="N50" s="212">
        <f t="shared" si="13"/>
        <v>682</v>
      </c>
      <c r="O50" s="212">
        <f t="shared" si="13"/>
        <v>585</v>
      </c>
      <c r="P50" s="212">
        <f t="shared" si="13"/>
        <v>640</v>
      </c>
      <c r="Q50" s="212">
        <f t="shared" si="13"/>
        <v>748</v>
      </c>
      <c r="R50" s="212">
        <f t="shared" si="13"/>
        <v>489</v>
      </c>
      <c r="S50" s="212">
        <f t="shared" si="13"/>
        <v>1279</v>
      </c>
      <c r="T50" s="212">
        <f t="shared" si="13"/>
        <v>1176</v>
      </c>
      <c r="U50" s="212">
        <f t="shared" si="13"/>
        <v>876</v>
      </c>
      <c r="V50" s="212">
        <f t="shared" si="13"/>
        <v>789</v>
      </c>
      <c r="W50" s="212">
        <f t="shared" si="13"/>
        <v>968</v>
      </c>
      <c r="X50" s="212">
        <f t="shared" si="13"/>
        <v>877</v>
      </c>
      <c r="Y50" s="212">
        <f t="shared" si="13"/>
        <v>937</v>
      </c>
      <c r="Z50" s="212">
        <f t="shared" si="13"/>
        <v>1044</v>
      </c>
      <c r="AA50" s="212">
        <f t="shared" si="13"/>
        <v>899</v>
      </c>
      <c r="AB50" s="212">
        <f t="shared" si="13"/>
        <v>851</v>
      </c>
      <c r="AC50" s="212">
        <f t="shared" si="13"/>
        <v>840</v>
      </c>
      <c r="AD50" s="212">
        <f t="shared" si="13"/>
        <v>884</v>
      </c>
      <c r="AE50" s="212">
        <f t="shared" si="13"/>
        <v>902</v>
      </c>
      <c r="AF50" s="212">
        <f t="shared" si="13"/>
        <v>873</v>
      </c>
      <c r="AG50" s="281">
        <f t="shared" si="13"/>
        <v>0</v>
      </c>
      <c r="AH50" s="280">
        <f>SUM(C50:AG50)</f>
        <v>23206</v>
      </c>
      <c r="AJ50" s="211">
        <f>AH50</f>
        <v>23206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16.051506849315068</v>
      </c>
      <c r="D52" s="215">
        <f t="shared" ref="D52:AG52" si="14">IF(D50&lt;=1,0,IF(D50&gt;=0,(SUM(D4+D5)/D50)))</f>
        <v>13.695280898876403</v>
      </c>
      <c r="E52" s="215">
        <f t="shared" si="14"/>
        <v>14.18959881129272</v>
      </c>
      <c r="F52" s="215">
        <f t="shared" si="14"/>
        <v>14.976750330250992</v>
      </c>
      <c r="G52" s="215">
        <f t="shared" si="14"/>
        <v>14.368173598553346</v>
      </c>
      <c r="H52" s="215">
        <f t="shared" si="14"/>
        <v>15.226765799256505</v>
      </c>
      <c r="I52" s="215">
        <f t="shared" si="14"/>
        <v>12.93695652173913</v>
      </c>
      <c r="J52" s="215">
        <f t="shared" si="14"/>
        <v>14.977846153846155</v>
      </c>
      <c r="K52" s="215">
        <f t="shared" si="14"/>
        <v>13.732503888024883</v>
      </c>
      <c r="L52" s="215">
        <f t="shared" si="14"/>
        <v>15.338994413407821</v>
      </c>
      <c r="M52" s="215">
        <f t="shared" si="14"/>
        <v>14.151758793969849</v>
      </c>
      <c r="N52" s="215">
        <f t="shared" si="14"/>
        <v>16.027859237536656</v>
      </c>
      <c r="O52" s="215">
        <f t="shared" si="14"/>
        <v>14.355213675213674</v>
      </c>
      <c r="P52" s="215">
        <f t="shared" si="14"/>
        <v>14.940312499999999</v>
      </c>
      <c r="Q52" s="215">
        <f t="shared" si="14"/>
        <v>14.71042780748663</v>
      </c>
      <c r="R52" s="215">
        <f t="shared" si="14"/>
        <v>15.597137014314928</v>
      </c>
      <c r="S52" s="215">
        <f t="shared" si="14"/>
        <v>15.710555121188428</v>
      </c>
      <c r="T52" s="215">
        <f t="shared" si="14"/>
        <v>15.159523809523808</v>
      </c>
      <c r="U52" s="215">
        <f t="shared" si="14"/>
        <v>14.87945205479452</v>
      </c>
      <c r="V52" s="215">
        <f t="shared" si="14"/>
        <v>15.17617237008872</v>
      </c>
      <c r="W52" s="215">
        <f t="shared" si="14"/>
        <v>15.012190082644628</v>
      </c>
      <c r="X52" s="215">
        <f t="shared" si="14"/>
        <v>14.869783352337514</v>
      </c>
      <c r="Y52" s="215">
        <f t="shared" si="14"/>
        <v>14.157097118463181</v>
      </c>
      <c r="Z52" s="215">
        <f t="shared" si="14"/>
        <v>15.601532567049809</v>
      </c>
      <c r="AA52" s="215">
        <f t="shared" si="14"/>
        <v>15.014460511679644</v>
      </c>
      <c r="AB52" s="215">
        <f t="shared" si="14"/>
        <v>16.143360752056406</v>
      </c>
      <c r="AC52" s="215">
        <f t="shared" si="14"/>
        <v>15.477857142857143</v>
      </c>
      <c r="AD52" s="215">
        <f t="shared" si="14"/>
        <v>14.949321266968326</v>
      </c>
      <c r="AE52" s="215">
        <f t="shared" si="14"/>
        <v>13.740133037694013</v>
      </c>
      <c r="AF52" s="215">
        <f t="shared" si="14"/>
        <v>13.069873997709049</v>
      </c>
      <c r="AG52" s="215">
        <f t="shared" si="14"/>
        <v>0</v>
      </c>
      <c r="AH52" s="280">
        <f>IFERROR(AVERAGEIF(C52:AG52, "&lt;&gt;0"),)</f>
        <v>14.807946649271335</v>
      </c>
      <c r="AJ52" s="221">
        <f>AH52</f>
        <v>14.807946649271335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18.899354838709677</v>
      </c>
      <c r="D54" s="242">
        <f t="shared" ref="D54:AG54" si="15">IF(D47&lt;=1,0,IF(D47&gt;=0,(SUM(D4+D5)/D47)))</f>
        <v>16.20851063829787</v>
      </c>
      <c r="E54" s="242">
        <f t="shared" si="15"/>
        <v>16.185762711864406</v>
      </c>
      <c r="F54" s="242">
        <f t="shared" si="15"/>
        <v>17.687051482059285</v>
      </c>
      <c r="G54" s="242">
        <f t="shared" si="15"/>
        <v>17.501321585903085</v>
      </c>
      <c r="H54" s="242">
        <f t="shared" si="15"/>
        <v>17.35593220338983</v>
      </c>
      <c r="I54" s="242">
        <f t="shared" si="15"/>
        <v>14.785093167701863</v>
      </c>
      <c r="J54" s="242">
        <f t="shared" si="15"/>
        <v>17.323131672597864</v>
      </c>
      <c r="K54" s="242">
        <f t="shared" si="15"/>
        <v>16.629001883239173</v>
      </c>
      <c r="L54" s="242">
        <f t="shared" si="15"/>
        <v>17.203508771929823</v>
      </c>
      <c r="M54" s="242">
        <f t="shared" si="15"/>
        <v>16.614749262536872</v>
      </c>
      <c r="N54" s="242">
        <f t="shared" si="15"/>
        <v>18.157807308970099</v>
      </c>
      <c r="O54" s="242">
        <f t="shared" si="15"/>
        <v>16.829258517034067</v>
      </c>
      <c r="P54" s="242">
        <f t="shared" si="15"/>
        <v>17.166606822262118</v>
      </c>
      <c r="Q54" s="242">
        <f t="shared" si="15"/>
        <v>17.192812499999999</v>
      </c>
      <c r="R54" s="242">
        <f t="shared" si="15"/>
        <v>17.861826697892273</v>
      </c>
      <c r="S54" s="242">
        <f t="shared" si="15"/>
        <v>17.101106382978724</v>
      </c>
      <c r="T54" s="242">
        <f t="shared" si="15"/>
        <v>17.043594646271508</v>
      </c>
      <c r="U54" s="242">
        <f t="shared" si="15"/>
        <v>17.30996015936255</v>
      </c>
      <c r="V54" s="242">
        <f t="shared" si="15"/>
        <v>17.608823529411765</v>
      </c>
      <c r="W54" s="242">
        <f t="shared" si="15"/>
        <v>16.626773455377574</v>
      </c>
      <c r="X54" s="242">
        <f t="shared" si="15"/>
        <v>17.002346805736636</v>
      </c>
      <c r="Y54" s="242">
        <f t="shared" si="15"/>
        <v>16.196825396825396</v>
      </c>
      <c r="Z54" s="242">
        <f t="shared" si="15"/>
        <v>17.801092896174865</v>
      </c>
      <c r="AA54" s="242">
        <f t="shared" si="15"/>
        <v>17.484455958549223</v>
      </c>
      <c r="AB54" s="242">
        <f t="shared" si="15"/>
        <v>18.489905787348587</v>
      </c>
      <c r="AC54" s="242">
        <f t="shared" si="15"/>
        <v>17.3352</v>
      </c>
      <c r="AD54" s="242">
        <f t="shared" si="15"/>
        <v>16.813231552162851</v>
      </c>
      <c r="AE54" s="242">
        <f t="shared" si="15"/>
        <v>16.053886010362696</v>
      </c>
      <c r="AF54" s="242">
        <f t="shared" si="15"/>
        <v>15.694635488308116</v>
      </c>
      <c r="AG54" s="242">
        <f t="shared" si="15"/>
        <v>0</v>
      </c>
      <c r="AH54" s="279">
        <f>IFERROR(AVERAGEIF(C54:AG54, "&lt;&gt;0"),)</f>
        <v>17.072118937775294</v>
      </c>
      <c r="AI54" s="243"/>
      <c r="AJ54" s="244">
        <f>AH54</f>
        <v>17.072118937775294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99</v>
      </c>
      <c r="D57" s="91">
        <v>99</v>
      </c>
      <c r="E57" s="91">
        <v>98</v>
      </c>
      <c r="F57" s="91">
        <v>98</v>
      </c>
      <c r="G57" s="91">
        <v>98</v>
      </c>
      <c r="H57" s="91">
        <v>99</v>
      </c>
      <c r="I57" s="91">
        <v>99</v>
      </c>
      <c r="J57" s="91">
        <v>99</v>
      </c>
      <c r="K57" s="91">
        <v>99</v>
      </c>
      <c r="L57" s="91">
        <v>98</v>
      </c>
      <c r="M57" s="91">
        <v>98</v>
      </c>
      <c r="N57" s="91">
        <v>98</v>
      </c>
      <c r="O57" s="91">
        <v>99</v>
      </c>
      <c r="P57" s="91">
        <v>99</v>
      </c>
      <c r="Q57" s="91">
        <v>99</v>
      </c>
      <c r="R57" s="91">
        <v>99</v>
      </c>
      <c r="S57" s="91">
        <v>97</v>
      </c>
      <c r="T57" s="91">
        <v>99</v>
      </c>
      <c r="U57" s="91">
        <v>97</v>
      </c>
      <c r="V57" s="91">
        <v>95</v>
      </c>
      <c r="W57" s="91"/>
      <c r="X57" s="91">
        <v>98</v>
      </c>
      <c r="Y57" s="91">
        <v>96</v>
      </c>
      <c r="Z57" s="91">
        <v>98</v>
      </c>
      <c r="AA57" s="91">
        <v>99</v>
      </c>
      <c r="AB57" s="91"/>
      <c r="AC57" s="91">
        <v>98</v>
      </c>
      <c r="AD57" s="91">
        <v>99</v>
      </c>
      <c r="AE57" s="91">
        <v>99</v>
      </c>
      <c r="AF57" s="91">
        <v>99</v>
      </c>
      <c r="AG57" s="91"/>
      <c r="AH57" s="302">
        <f>IFERROR(AVERAGEIF(C57:AG57,"&lt;&gt;0"),)</f>
        <v>98.285714285714292</v>
      </c>
      <c r="AJ57" s="303">
        <f>AH57</f>
        <v>98.285714285714292</v>
      </c>
      <c r="AK57" s="304" t="s">
        <v>133</v>
      </c>
    </row>
    <row r="58" spans="1:37" x14ac:dyDescent="0.25">
      <c r="A58" s="90"/>
      <c r="B58" s="301" t="s">
        <v>155</v>
      </c>
      <c r="C58" s="91">
        <v>94</v>
      </c>
      <c r="D58" s="91">
        <v>92</v>
      </c>
      <c r="E58" s="91">
        <v>94</v>
      </c>
      <c r="F58" s="91">
        <v>93</v>
      </c>
      <c r="G58" s="91">
        <v>92</v>
      </c>
      <c r="H58" s="91">
        <v>87</v>
      </c>
      <c r="I58" s="91">
        <v>84</v>
      </c>
      <c r="J58" s="91">
        <v>93</v>
      </c>
      <c r="K58" s="91">
        <v>94</v>
      </c>
      <c r="L58" s="91">
        <v>93</v>
      </c>
      <c r="M58" s="91">
        <v>93</v>
      </c>
      <c r="N58" s="91">
        <v>93</v>
      </c>
      <c r="O58" s="91">
        <v>93</v>
      </c>
      <c r="P58" s="91">
        <v>88</v>
      </c>
      <c r="Q58" s="91">
        <v>92</v>
      </c>
      <c r="R58" s="91">
        <v>94</v>
      </c>
      <c r="S58" s="91">
        <v>92</v>
      </c>
      <c r="T58" s="91">
        <v>95</v>
      </c>
      <c r="U58" s="91">
        <v>90</v>
      </c>
      <c r="V58" s="91">
        <v>84</v>
      </c>
      <c r="W58" s="91"/>
      <c r="X58" s="91">
        <v>91</v>
      </c>
      <c r="Y58" s="91">
        <v>92</v>
      </c>
      <c r="Z58" s="91">
        <v>94</v>
      </c>
      <c r="AA58" s="91">
        <v>94</v>
      </c>
      <c r="AB58" s="91"/>
      <c r="AC58" s="91">
        <v>91</v>
      </c>
      <c r="AD58" s="91">
        <v>84</v>
      </c>
      <c r="AE58" s="91">
        <v>90</v>
      </c>
      <c r="AF58" s="91">
        <v>90</v>
      </c>
      <c r="AG58" s="91"/>
      <c r="AH58" s="302">
        <f t="shared" ref="AH58:AH60" si="16">IFERROR(AVERAGEIF(C58:AG58,"&lt;&gt;0"),)</f>
        <v>91.285714285714292</v>
      </c>
      <c r="AJ58" s="305">
        <f>AH58</f>
        <v>91.285714285714292</v>
      </c>
      <c r="AK58" s="306" t="s">
        <v>134</v>
      </c>
    </row>
    <row r="59" spans="1:37" x14ac:dyDescent="0.25">
      <c r="A59" s="90"/>
      <c r="B59" s="301" t="s">
        <v>135</v>
      </c>
      <c r="C59" s="301">
        <v>78</v>
      </c>
      <c r="D59" s="301">
        <v>79</v>
      </c>
      <c r="E59" s="301">
        <v>81</v>
      </c>
      <c r="F59" s="301">
        <v>80</v>
      </c>
      <c r="G59" s="301">
        <v>81</v>
      </c>
      <c r="H59" s="301">
        <v>79</v>
      </c>
      <c r="I59" s="301">
        <v>78</v>
      </c>
      <c r="J59" s="301">
        <v>78</v>
      </c>
      <c r="K59" s="301">
        <v>79</v>
      </c>
      <c r="L59" s="301">
        <v>78</v>
      </c>
      <c r="M59" s="301">
        <v>79</v>
      </c>
      <c r="N59" s="301">
        <v>78</v>
      </c>
      <c r="O59" s="301">
        <v>78</v>
      </c>
      <c r="P59" s="301">
        <v>78</v>
      </c>
      <c r="Q59" s="301">
        <v>78</v>
      </c>
      <c r="R59" s="301">
        <v>81</v>
      </c>
      <c r="S59" s="301">
        <v>75</v>
      </c>
      <c r="T59" s="301">
        <v>76</v>
      </c>
      <c r="U59" s="301">
        <v>76</v>
      </c>
      <c r="V59" s="301">
        <v>73</v>
      </c>
      <c r="W59" s="301"/>
      <c r="X59" s="301">
        <v>79</v>
      </c>
      <c r="Y59" s="301">
        <v>75</v>
      </c>
      <c r="Z59" s="301">
        <v>75</v>
      </c>
      <c r="AA59" s="301">
        <v>78</v>
      </c>
      <c r="AB59" s="301"/>
      <c r="AC59" s="301">
        <v>78</v>
      </c>
      <c r="AD59" s="301">
        <v>76</v>
      </c>
      <c r="AE59" s="301">
        <v>78</v>
      </c>
      <c r="AF59" s="301">
        <v>78</v>
      </c>
      <c r="AG59" s="301"/>
      <c r="AH59" s="302">
        <f t="shared" si="16"/>
        <v>77.857142857142861</v>
      </c>
      <c r="AJ59" s="305">
        <f>AH59</f>
        <v>77.857142857142861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4"/>
      <c r="B1" s="515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45078</v>
      </c>
      <c r="B2" s="355" t="str">
        <f>TEXT(A2,"ddd")</f>
        <v>Thu</v>
      </c>
      <c r="C2" s="321">
        <f>TRANSPOSE(Pool!C4:AG4)</f>
        <v>5858.8</v>
      </c>
      <c r="D2" s="321">
        <f t="array" ref="D2:D32">TRANSPOSE(Pool!C9:AG9)</f>
        <v>303</v>
      </c>
      <c r="E2" s="321">
        <f t="array" ref="E2:E32">TRANSPOSE(Pool!C14:AG14)</f>
        <v>69</v>
      </c>
      <c r="F2" s="321">
        <f t="array" ref="F2:F32">TRANSPOSE(Pool!C15:AG15)</f>
        <v>501.5</v>
      </c>
      <c r="G2" s="321">
        <f t="array" ref="G2:G32">TRANSPOSE(Pool!C16:AG16)</f>
        <v>0</v>
      </c>
      <c r="H2" s="321">
        <f>TRANSPOSE(Pool!C18:AG18)</f>
        <v>0</v>
      </c>
      <c r="I2" s="324">
        <f t="array" ref="I2:I32">TRANSPOSE(Pool!C20:AG20)</f>
        <v>0</v>
      </c>
      <c r="J2" s="327"/>
      <c r="K2" s="328">
        <f t="array" ref="K2:K32">TRANSPOSE(Pool!C57:AG57)</f>
        <v>99</v>
      </c>
      <c r="L2" s="331">
        <f t="array" ref="L2:L32">TRANSPOSE(Pool!C58:AG58)</f>
        <v>94</v>
      </c>
      <c r="M2" s="334">
        <f t="array" ref="M2:M32">TRANSPOSE(Pool!C59:AG59)</f>
        <v>78</v>
      </c>
      <c r="N2" s="327"/>
      <c r="O2" s="338">
        <f t="array" ref="O2:O32">TRANSPOSE(Pool!C50:AG50)</f>
        <v>365</v>
      </c>
    </row>
    <row r="3" spans="1:15" x14ac:dyDescent="0.25">
      <c r="A3" s="341">
        <f t="shared" ref="A3:A32" si="0">SUM(A2+1)</f>
        <v>45079</v>
      </c>
      <c r="B3" s="356" t="str">
        <f>TEXT(A3,"ddd")</f>
        <v>Fri</v>
      </c>
      <c r="C3" s="322">
        <f>TRANSPOSE(Pool!C9:AG9)</f>
        <v>303</v>
      </c>
      <c r="D3" s="322">
        <v>231</v>
      </c>
      <c r="E3" s="322">
        <v>4</v>
      </c>
      <c r="F3" s="322">
        <v>456.74</v>
      </c>
      <c r="G3" s="322">
        <v>0</v>
      </c>
      <c r="H3" s="322">
        <f>TRANSPOSE(Pool!C19:AG19)</f>
        <v>0</v>
      </c>
      <c r="I3" s="325">
        <v>0</v>
      </c>
      <c r="J3" s="327"/>
      <c r="K3" s="329">
        <v>99</v>
      </c>
      <c r="L3" s="332">
        <v>92</v>
      </c>
      <c r="M3" s="335">
        <v>79</v>
      </c>
      <c r="N3" s="327"/>
      <c r="O3" s="339">
        <v>445</v>
      </c>
    </row>
    <row r="4" spans="1:15" x14ac:dyDescent="0.25">
      <c r="A4" s="341">
        <f t="shared" si="0"/>
        <v>45080</v>
      </c>
      <c r="B4" s="356" t="str">
        <f>TEXT(A4,"DDD")</f>
        <v>Sat</v>
      </c>
      <c r="C4" s="322">
        <f>TRANSPOSE(Pool!C5:AG5)</f>
        <v>0</v>
      </c>
      <c r="D4" s="322">
        <v>484</v>
      </c>
      <c r="E4" s="322">
        <v>66</v>
      </c>
      <c r="F4" s="322">
        <v>753.85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>
        <v>94</v>
      </c>
      <c r="M4" s="335">
        <v>81</v>
      </c>
      <c r="N4" s="327"/>
      <c r="O4" s="339">
        <v>673</v>
      </c>
    </row>
    <row r="5" spans="1:15" x14ac:dyDescent="0.25">
      <c r="A5" s="341">
        <f t="shared" si="0"/>
        <v>45081</v>
      </c>
      <c r="B5" s="356" t="str">
        <f>TEXT(A5,"ddd")</f>
        <v>Sun</v>
      </c>
      <c r="C5" s="322">
        <f>TRANSPOSE(Pool!C6:AG6)</f>
        <v>768</v>
      </c>
      <c r="D5" s="322">
        <v>439</v>
      </c>
      <c r="E5" s="322">
        <v>20</v>
      </c>
      <c r="F5" s="322">
        <v>813.57</v>
      </c>
      <c r="G5" s="322">
        <v>0</v>
      </c>
      <c r="H5" s="322">
        <f>TRANSPOSE(Pool!C20:AG20)</f>
        <v>0</v>
      </c>
      <c r="I5" s="325">
        <v>0</v>
      </c>
      <c r="J5" s="327"/>
      <c r="K5" s="329">
        <v>98</v>
      </c>
      <c r="L5" s="332">
        <v>93</v>
      </c>
      <c r="M5" s="335">
        <v>80</v>
      </c>
      <c r="N5" s="327"/>
      <c r="O5" s="339">
        <v>757</v>
      </c>
    </row>
    <row r="6" spans="1:15" x14ac:dyDescent="0.25">
      <c r="A6" s="341">
        <f t="shared" si="0"/>
        <v>45082</v>
      </c>
      <c r="B6" s="356" t="str">
        <f>TEXT(A6,"DDD")</f>
        <v>Mon</v>
      </c>
      <c r="C6" s="322">
        <f>TRANSPOSE(Pool!C7:AG7)</f>
        <v>1260</v>
      </c>
      <c r="D6" s="322">
        <v>510</v>
      </c>
      <c r="E6" s="322">
        <v>109</v>
      </c>
      <c r="F6" s="322">
        <v>528.95000000000005</v>
      </c>
      <c r="G6" s="322">
        <v>0</v>
      </c>
      <c r="H6" s="322">
        <f>TRANSPOSE(Pool!C22:AG22)</f>
        <v>0</v>
      </c>
      <c r="I6" s="325">
        <v>0</v>
      </c>
      <c r="J6" s="327"/>
      <c r="K6" s="329">
        <v>98</v>
      </c>
      <c r="L6" s="332">
        <v>92</v>
      </c>
      <c r="M6" s="335">
        <v>81</v>
      </c>
      <c r="N6" s="327"/>
      <c r="O6" s="339">
        <v>553</v>
      </c>
    </row>
    <row r="7" spans="1:15" x14ac:dyDescent="0.25">
      <c r="A7" s="341">
        <f t="shared" si="0"/>
        <v>45083</v>
      </c>
      <c r="B7" s="356" t="str">
        <f>TEXT(A7,"ddd")</f>
        <v>Tue</v>
      </c>
      <c r="C7" s="322">
        <f>TRANSPOSE(Pool!C8:AG8)</f>
        <v>0</v>
      </c>
      <c r="D7" s="322">
        <v>559</v>
      </c>
      <c r="E7" s="322">
        <v>16</v>
      </c>
      <c r="F7" s="322">
        <v>320.14999999999998</v>
      </c>
      <c r="G7" s="322">
        <v>0</v>
      </c>
      <c r="H7" s="322">
        <f>TRANSPOSE(Pool!C23:AG23)</f>
        <v>0</v>
      </c>
      <c r="I7" s="325">
        <v>0</v>
      </c>
      <c r="J7" s="327"/>
      <c r="K7" s="329">
        <v>99</v>
      </c>
      <c r="L7" s="332">
        <v>87</v>
      </c>
      <c r="M7" s="335">
        <v>79</v>
      </c>
      <c r="N7" s="327"/>
      <c r="O7" s="339">
        <v>538</v>
      </c>
    </row>
    <row r="8" spans="1:15" x14ac:dyDescent="0.25">
      <c r="A8" s="341">
        <f t="shared" si="0"/>
        <v>45084</v>
      </c>
      <c r="B8" s="356" t="str">
        <f>TEXT(A8,"DDD")</f>
        <v>Wed</v>
      </c>
      <c r="C8" s="322">
        <f>TRANSPOSE(Pool!C10:AG10)</f>
        <v>0</v>
      </c>
      <c r="D8" s="322">
        <v>310</v>
      </c>
      <c r="E8" s="322">
        <v>116</v>
      </c>
      <c r="F8" s="322">
        <v>679.55</v>
      </c>
      <c r="G8" s="322">
        <v>0</v>
      </c>
      <c r="H8" s="322">
        <f>TRANSPOSE(Pool!C24:AG24)</f>
        <v>0</v>
      </c>
      <c r="I8" s="325">
        <v>0</v>
      </c>
      <c r="J8" s="327"/>
      <c r="K8" s="329">
        <v>99</v>
      </c>
      <c r="L8" s="332">
        <v>84</v>
      </c>
      <c r="M8" s="335">
        <v>78</v>
      </c>
      <c r="N8" s="327"/>
      <c r="O8" s="339">
        <v>552</v>
      </c>
    </row>
    <row r="9" spans="1:15" x14ac:dyDescent="0.25">
      <c r="A9" s="341">
        <f t="shared" si="0"/>
        <v>45085</v>
      </c>
      <c r="B9" s="356" t="str">
        <f>TEXT(A9,"ddd")</f>
        <v>Thu</v>
      </c>
      <c r="C9" s="322">
        <f>TRANSPOSE(Pool!C11:AG11)</f>
        <v>0</v>
      </c>
      <c r="D9" s="322">
        <v>728</v>
      </c>
      <c r="E9" s="322">
        <v>109</v>
      </c>
      <c r="F9" s="322">
        <v>998.31</v>
      </c>
      <c r="G9" s="322">
        <v>0</v>
      </c>
      <c r="H9" s="322">
        <f>TRANSPOSE(Pool!C25:AG25)</f>
        <v>0</v>
      </c>
      <c r="I9" s="325">
        <v>0</v>
      </c>
      <c r="J9" s="327"/>
      <c r="K9" s="329">
        <v>99</v>
      </c>
      <c r="L9" s="332">
        <v>93</v>
      </c>
      <c r="M9" s="336">
        <v>78</v>
      </c>
      <c r="N9" s="327"/>
      <c r="O9" s="339">
        <v>650</v>
      </c>
    </row>
    <row r="10" spans="1:15" x14ac:dyDescent="0.25">
      <c r="A10" s="341">
        <f t="shared" si="0"/>
        <v>45086</v>
      </c>
      <c r="B10" s="356" t="str">
        <f>TEXT(A10,"DDD")</f>
        <v>Fri</v>
      </c>
      <c r="C10" s="322">
        <f>TRANSPOSE(Pool!C12:AG12)</f>
        <v>0</v>
      </c>
      <c r="D10" s="322">
        <v>578</v>
      </c>
      <c r="E10" s="322">
        <v>36</v>
      </c>
      <c r="F10" s="322">
        <v>648.30999999999995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99</v>
      </c>
      <c r="L10" s="332">
        <v>94</v>
      </c>
      <c r="M10" s="335">
        <v>79</v>
      </c>
      <c r="N10" s="327"/>
      <c r="O10" s="339">
        <v>643</v>
      </c>
    </row>
    <row r="11" spans="1:15" x14ac:dyDescent="0.25">
      <c r="A11" s="341">
        <f t="shared" si="0"/>
        <v>45087</v>
      </c>
      <c r="B11" s="356" t="str">
        <f>TEXT(A11,"ddd")</f>
        <v>Sat</v>
      </c>
      <c r="C11" s="322">
        <f>TRANSPOSE(Pool!C13:AG13)</f>
        <v>0</v>
      </c>
      <c r="D11" s="322">
        <v>670</v>
      </c>
      <c r="E11" s="322">
        <v>93</v>
      </c>
      <c r="F11" s="322">
        <v>1065.27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>
        <v>93</v>
      </c>
      <c r="M11" s="335">
        <v>78</v>
      </c>
      <c r="N11" s="327"/>
      <c r="O11" s="339">
        <v>895</v>
      </c>
    </row>
    <row r="12" spans="1:15" x14ac:dyDescent="0.25">
      <c r="A12" s="341">
        <f t="shared" si="0"/>
        <v>45088</v>
      </c>
      <c r="B12" s="356" t="str">
        <f>TEXT(A12,"DDD")</f>
        <v>Sun</v>
      </c>
      <c r="C12" s="322">
        <f>TRANSPOSE(Pool!C14:AG14)</f>
        <v>69</v>
      </c>
      <c r="D12" s="322">
        <v>754</v>
      </c>
      <c r="E12" s="322">
        <v>65</v>
      </c>
      <c r="F12" s="322">
        <v>1017.38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98</v>
      </c>
      <c r="L12" s="332">
        <v>93</v>
      </c>
      <c r="M12" s="335">
        <v>79</v>
      </c>
      <c r="N12" s="327"/>
      <c r="O12" s="339">
        <v>796</v>
      </c>
    </row>
    <row r="13" spans="1:15" x14ac:dyDescent="0.25">
      <c r="A13" s="341">
        <f t="shared" si="0"/>
        <v>45089</v>
      </c>
      <c r="B13" s="356" t="str">
        <f>TEXT(A13,"ddd")</f>
        <v>Mon</v>
      </c>
      <c r="C13" s="322">
        <f>TRANSPOSE(Pool!C15:AG15)</f>
        <v>501.5</v>
      </c>
      <c r="D13" s="322">
        <v>557</v>
      </c>
      <c r="E13" s="322">
        <v>53</v>
      </c>
      <c r="F13" s="322">
        <v>544.49</v>
      </c>
      <c r="G13" s="322">
        <v>0</v>
      </c>
      <c r="H13" s="322">
        <f>TRANSPOSE(Pool!C29:AG29)</f>
        <v>11373.31</v>
      </c>
      <c r="I13" s="325">
        <v>135</v>
      </c>
      <c r="J13" s="327"/>
      <c r="K13" s="329">
        <v>98</v>
      </c>
      <c r="L13" s="332">
        <v>93</v>
      </c>
      <c r="M13" s="335">
        <v>78</v>
      </c>
      <c r="N13" s="327"/>
      <c r="O13" s="339">
        <v>682</v>
      </c>
    </row>
    <row r="14" spans="1:15" x14ac:dyDescent="0.25">
      <c r="A14" s="341">
        <f t="shared" si="0"/>
        <v>45090</v>
      </c>
      <c r="B14" s="356" t="str">
        <f>TEXT(A14,"DDD")</f>
        <v>Tue</v>
      </c>
      <c r="C14" s="322">
        <f>TRANSPOSE(Pool!C16:AG16)</f>
        <v>0</v>
      </c>
      <c r="D14" s="322">
        <v>361</v>
      </c>
      <c r="E14" s="322">
        <v>71</v>
      </c>
      <c r="F14" s="322">
        <v>576.58000000000004</v>
      </c>
      <c r="G14" s="322">
        <v>0</v>
      </c>
      <c r="H14" s="322">
        <f>TRANSPOSE(Pool!C30:AG30)</f>
        <v>11373.31</v>
      </c>
      <c r="I14" s="325">
        <v>180</v>
      </c>
      <c r="J14" s="327"/>
      <c r="K14" s="329">
        <v>99</v>
      </c>
      <c r="L14" s="332">
        <v>93</v>
      </c>
      <c r="M14" s="335">
        <v>78</v>
      </c>
      <c r="N14" s="327"/>
      <c r="O14" s="339">
        <v>585</v>
      </c>
    </row>
    <row r="15" spans="1:15" x14ac:dyDescent="0.25">
      <c r="A15" s="341">
        <f t="shared" si="0"/>
        <v>45091</v>
      </c>
      <c r="B15" s="356" t="str">
        <f>TEXT(A15,"ddd")</f>
        <v>Wed</v>
      </c>
      <c r="C15" s="322">
        <f>TRANSPOSE(Pool!C18:AG18)</f>
        <v>518</v>
      </c>
      <c r="D15" s="322">
        <v>381</v>
      </c>
      <c r="E15" s="322">
        <v>63</v>
      </c>
      <c r="F15" s="322">
        <v>525.25</v>
      </c>
      <c r="G15" s="322">
        <v>0</v>
      </c>
      <c r="H15" s="322">
        <f>TRANSPOSE(Pool!C31:AG31)</f>
        <v>0</v>
      </c>
      <c r="I15" s="325">
        <v>225</v>
      </c>
      <c r="J15" s="327"/>
      <c r="K15" s="329">
        <v>99</v>
      </c>
      <c r="L15" s="332">
        <v>88</v>
      </c>
      <c r="M15" s="335">
        <v>78</v>
      </c>
      <c r="N15" s="327"/>
      <c r="O15" s="339">
        <v>640</v>
      </c>
    </row>
    <row r="16" spans="1:15" x14ac:dyDescent="0.25">
      <c r="A16" s="341">
        <f t="shared" si="0"/>
        <v>45092</v>
      </c>
      <c r="B16" s="356" t="str">
        <f>TEXT(A16,"DDD")</f>
        <v>Thu</v>
      </c>
      <c r="C16" s="322">
        <f>TRANSPOSE(Pool!C19:AG19)</f>
        <v>0</v>
      </c>
      <c r="D16" s="322">
        <v>627</v>
      </c>
      <c r="E16" s="322">
        <v>46</v>
      </c>
      <c r="F16" s="322">
        <v>574.53</v>
      </c>
      <c r="G16" s="322">
        <v>0</v>
      </c>
      <c r="H16" s="322">
        <f>TRANSPOSE(Pool!C32:AG32)</f>
        <v>0</v>
      </c>
      <c r="I16" s="325">
        <v>90</v>
      </c>
      <c r="J16" s="327"/>
      <c r="K16" s="329">
        <v>99</v>
      </c>
      <c r="L16" s="332">
        <v>92</v>
      </c>
      <c r="M16" s="335">
        <v>78</v>
      </c>
      <c r="N16" s="327"/>
      <c r="O16" s="339">
        <v>748</v>
      </c>
    </row>
    <row r="17" spans="1:15" x14ac:dyDescent="0.25">
      <c r="A17" s="341">
        <f t="shared" si="0"/>
        <v>45093</v>
      </c>
      <c r="B17" s="356" t="str">
        <f>TEXT(A17,"ddd")</f>
        <v>Fri</v>
      </c>
      <c r="C17" s="322">
        <f>TRANSPOSE(Pool!C21:AG21)</f>
        <v>0</v>
      </c>
      <c r="D17" s="322">
        <v>330</v>
      </c>
      <c r="E17" s="322">
        <v>86</v>
      </c>
      <c r="F17" s="322">
        <v>707.61</v>
      </c>
      <c r="G17" s="322">
        <v>0</v>
      </c>
      <c r="H17" s="322">
        <f>TRANSPOSE(Pool!C33:AG33)</f>
        <v>1137.01</v>
      </c>
      <c r="I17" s="325">
        <v>0</v>
      </c>
      <c r="J17" s="327"/>
      <c r="K17" s="329">
        <v>99</v>
      </c>
      <c r="L17" s="332">
        <v>94</v>
      </c>
      <c r="M17" s="335">
        <v>81</v>
      </c>
      <c r="N17" s="327"/>
      <c r="O17" s="339">
        <v>489</v>
      </c>
    </row>
    <row r="18" spans="1:15" x14ac:dyDescent="0.25">
      <c r="A18" s="341">
        <f t="shared" si="0"/>
        <v>45094</v>
      </c>
      <c r="B18" s="356" t="str">
        <f>TEXT(A18,"DDD")</f>
        <v>Sat</v>
      </c>
      <c r="C18" s="322">
        <f>TRANSPOSE(Pool!C20:AG20)</f>
        <v>0</v>
      </c>
      <c r="D18" s="322">
        <v>869</v>
      </c>
      <c r="E18" s="322">
        <v>55</v>
      </c>
      <c r="F18" s="322">
        <v>1433.43</v>
      </c>
      <c r="G18" s="322">
        <v>0</v>
      </c>
      <c r="H18" s="322">
        <f>TRANSPOSE(Pool!C34:AG34)</f>
        <v>10240.879999999999</v>
      </c>
      <c r="I18" s="325">
        <v>0</v>
      </c>
      <c r="J18" s="327"/>
      <c r="K18" s="329">
        <v>97</v>
      </c>
      <c r="L18" s="332">
        <v>92</v>
      </c>
      <c r="M18" s="335">
        <v>75</v>
      </c>
      <c r="N18" s="327"/>
      <c r="O18" s="339">
        <v>1279</v>
      </c>
    </row>
    <row r="19" spans="1:15" x14ac:dyDescent="0.25">
      <c r="A19" s="341">
        <f t="shared" si="0"/>
        <v>45095</v>
      </c>
      <c r="B19" s="356" t="str">
        <f>TEXT(A19,"ddd")</f>
        <v>Sun</v>
      </c>
      <c r="C19" s="322">
        <f>TRANSPOSE(Pool!C22:AG22)</f>
        <v>0</v>
      </c>
      <c r="D19" s="322">
        <v>927</v>
      </c>
      <c r="E19" s="322">
        <v>142</v>
      </c>
      <c r="F19" s="322">
        <v>1390.66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99</v>
      </c>
      <c r="L19" s="332">
        <v>95</v>
      </c>
      <c r="M19" s="335">
        <v>76</v>
      </c>
      <c r="N19" s="327"/>
      <c r="O19" s="339">
        <v>1176</v>
      </c>
    </row>
    <row r="20" spans="1:15" x14ac:dyDescent="0.25">
      <c r="A20" s="341">
        <f t="shared" si="0"/>
        <v>45096</v>
      </c>
      <c r="B20" s="356" t="str">
        <f>TEXT(A20,"DDD")</f>
        <v>Mon</v>
      </c>
      <c r="C20" s="322">
        <f>TRANSPOSE(Pool!C23:AG23)</f>
        <v>0</v>
      </c>
      <c r="D20" s="322">
        <v>755</v>
      </c>
      <c r="E20" s="322">
        <v>93</v>
      </c>
      <c r="F20" s="322">
        <v>753.42</v>
      </c>
      <c r="G20" s="322">
        <v>0</v>
      </c>
      <c r="H20" s="322">
        <f>TRANSPOSE(Pool!C36:AG36)</f>
        <v>0</v>
      </c>
      <c r="I20" s="325">
        <v>45</v>
      </c>
      <c r="J20" s="327"/>
      <c r="K20" s="329">
        <v>97</v>
      </c>
      <c r="L20" s="332">
        <v>90</v>
      </c>
      <c r="M20" s="335">
        <v>76</v>
      </c>
      <c r="N20" s="327"/>
      <c r="O20" s="339">
        <v>876</v>
      </c>
    </row>
    <row r="21" spans="1:15" x14ac:dyDescent="0.25">
      <c r="A21" s="341">
        <f t="shared" si="0"/>
        <v>45097</v>
      </c>
      <c r="B21" s="356" t="str">
        <f>TEXT(A21,"ddd")</f>
        <v>Tue</v>
      </c>
      <c r="C21" s="322">
        <f>TRANSPOSE(Pool!C24:AG24)</f>
        <v>0</v>
      </c>
      <c r="D21" s="322">
        <v>610</v>
      </c>
      <c r="E21" s="322">
        <v>64</v>
      </c>
      <c r="F21" s="322">
        <v>751.74</v>
      </c>
      <c r="G21" s="322">
        <v>0</v>
      </c>
      <c r="H21" s="322">
        <f>TRANSPOSE(Pool!C37:AG37)</f>
        <v>0</v>
      </c>
      <c r="I21" s="325">
        <v>135</v>
      </c>
      <c r="J21" s="327"/>
      <c r="K21" s="329">
        <v>95</v>
      </c>
      <c r="L21" s="332">
        <v>84</v>
      </c>
      <c r="M21" s="335">
        <v>73</v>
      </c>
      <c r="N21" s="327"/>
      <c r="O21" s="339">
        <v>789</v>
      </c>
    </row>
    <row r="22" spans="1:15" x14ac:dyDescent="0.25">
      <c r="A22" s="341">
        <f t="shared" si="0"/>
        <v>45098</v>
      </c>
      <c r="B22" s="356" t="str">
        <f>TEXT(A22,"DDD")</f>
        <v>Wed</v>
      </c>
      <c r="C22" s="322">
        <f>TRANSPOSE(Pool!C25:AG25)</f>
        <v>0</v>
      </c>
      <c r="D22" s="322">
        <v>785</v>
      </c>
      <c r="E22" s="322">
        <v>72</v>
      </c>
      <c r="F22" s="322">
        <v>1263.5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0</v>
      </c>
      <c r="L22" s="332">
        <v>0</v>
      </c>
      <c r="M22" s="335">
        <v>0</v>
      </c>
      <c r="N22" s="327"/>
      <c r="O22" s="339">
        <v>968</v>
      </c>
    </row>
    <row r="23" spans="1:15" x14ac:dyDescent="0.25">
      <c r="A23" s="341">
        <f t="shared" si="0"/>
        <v>45099</v>
      </c>
      <c r="B23" s="356" t="str">
        <f>TEXT(A23,"ddd")</f>
        <v>Thu</v>
      </c>
      <c r="C23" s="322">
        <f>TRANSPOSE(Pool!C26:AG26)</f>
        <v>0</v>
      </c>
      <c r="D23" s="322">
        <v>860</v>
      </c>
      <c r="E23" s="322">
        <v>125</v>
      </c>
      <c r="F23" s="322">
        <v>742.45</v>
      </c>
      <c r="G23" s="322">
        <v>0</v>
      </c>
      <c r="H23" s="322">
        <f>TRANSPOSE(Pool!C39:AG39)</f>
        <v>11377.89</v>
      </c>
      <c r="I23" s="325">
        <v>45</v>
      </c>
      <c r="J23" s="327"/>
      <c r="K23" s="329">
        <v>98</v>
      </c>
      <c r="L23" s="332">
        <v>91</v>
      </c>
      <c r="M23" s="335">
        <v>79</v>
      </c>
      <c r="N23" s="327"/>
      <c r="O23" s="339">
        <v>877</v>
      </c>
    </row>
    <row r="24" spans="1:15" x14ac:dyDescent="0.25">
      <c r="A24" s="341">
        <f t="shared" si="0"/>
        <v>45100</v>
      </c>
      <c r="B24" s="356" t="str">
        <f>TEXT(A24,"DDD")</f>
        <v>Fri</v>
      </c>
      <c r="C24" s="322">
        <f>TRANSPOSE(Pool!C27:AG27)</f>
        <v>0</v>
      </c>
      <c r="D24" s="322">
        <v>811</v>
      </c>
      <c r="E24" s="322">
        <v>56</v>
      </c>
      <c r="F24" s="322">
        <v>804.51</v>
      </c>
      <c r="G24" s="322">
        <v>0</v>
      </c>
      <c r="H24" s="322">
        <f>TRANSPOSE(Pool!C40:AG40)</f>
        <v>11373.31</v>
      </c>
      <c r="I24" s="325">
        <v>0</v>
      </c>
      <c r="J24" s="327"/>
      <c r="K24" s="329">
        <v>96</v>
      </c>
      <c r="L24" s="332">
        <v>92</v>
      </c>
      <c r="M24" s="335">
        <v>75</v>
      </c>
      <c r="N24" s="327"/>
      <c r="O24" s="339">
        <v>937</v>
      </c>
    </row>
    <row r="25" spans="1:15" x14ac:dyDescent="0.25">
      <c r="A25" s="341">
        <f t="shared" si="0"/>
        <v>45101</v>
      </c>
      <c r="B25" s="356" t="str">
        <f>TEXT(A25,"ddd")</f>
        <v>Sat</v>
      </c>
      <c r="C25" s="322">
        <f>TRANSPOSE(Pool!C28:AG28)</f>
        <v>0</v>
      </c>
      <c r="D25" s="322">
        <v>859</v>
      </c>
      <c r="E25" s="322">
        <v>4</v>
      </c>
      <c r="F25" s="322">
        <v>1076.47</v>
      </c>
      <c r="G25" s="322">
        <v>0</v>
      </c>
      <c r="H25" s="322">
        <f>TRANSPOSE(Pool!C41:AG41)</f>
        <v>4.5799999999999272</v>
      </c>
      <c r="I25" s="325">
        <v>0</v>
      </c>
      <c r="J25" s="327"/>
      <c r="K25" s="329">
        <v>98</v>
      </c>
      <c r="L25" s="332">
        <v>94</v>
      </c>
      <c r="M25" s="335">
        <v>75</v>
      </c>
      <c r="N25" s="327"/>
      <c r="O25" s="339">
        <v>1044</v>
      </c>
    </row>
    <row r="26" spans="1:15" x14ac:dyDescent="0.25">
      <c r="A26" s="341">
        <f t="shared" si="0"/>
        <v>45102</v>
      </c>
      <c r="B26" s="356" t="str">
        <f>TEXT(A26,"DDD")</f>
        <v>Sun</v>
      </c>
      <c r="C26" s="322">
        <f>TRANSPOSE(Pool!C29:AG29)</f>
        <v>9331.66</v>
      </c>
      <c r="D26" s="322">
        <v>749</v>
      </c>
      <c r="E26" s="322">
        <v>12</v>
      </c>
      <c r="F26" s="322">
        <v>954.21</v>
      </c>
      <c r="G26" s="322">
        <v>0</v>
      </c>
      <c r="H26" s="322">
        <f>TRANSPOSE(Pool!C42:AG42)</f>
        <v>0</v>
      </c>
      <c r="I26" s="325">
        <v>45</v>
      </c>
      <c r="J26" s="327"/>
      <c r="K26" s="329">
        <v>99</v>
      </c>
      <c r="L26" s="332">
        <v>94</v>
      </c>
      <c r="M26" s="335">
        <v>78</v>
      </c>
      <c r="N26" s="327"/>
      <c r="O26" s="339">
        <v>899</v>
      </c>
    </row>
    <row r="27" spans="1:15" x14ac:dyDescent="0.25">
      <c r="A27" s="341">
        <f t="shared" si="0"/>
        <v>45103</v>
      </c>
      <c r="B27" s="356" t="str">
        <f>TEXT(A27,"ddd")</f>
        <v>Mon</v>
      </c>
      <c r="C27" s="322">
        <f>TRANSPOSE(Pool!C30:AG30)</f>
        <v>9331.66</v>
      </c>
      <c r="D27" s="322">
        <v>906</v>
      </c>
      <c r="E27" s="322">
        <v>8</v>
      </c>
      <c r="F27" s="322">
        <v>930.79</v>
      </c>
      <c r="G27" s="322">
        <v>0</v>
      </c>
      <c r="H27" s="322">
        <f>TRANSPOSE(Pool!C43:AG43)</f>
        <v>-4.5799999999999272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851</v>
      </c>
    </row>
    <row r="28" spans="1:15" x14ac:dyDescent="0.25">
      <c r="A28" s="341">
        <f t="shared" si="0"/>
        <v>45104</v>
      </c>
      <c r="B28" s="356" t="str">
        <f>TEXT(A28,"DDD")</f>
        <v>Tue</v>
      </c>
      <c r="C28" s="322">
        <f>TRANSPOSE(Pool!C31:AG31)</f>
        <v>0</v>
      </c>
      <c r="D28" s="322">
        <v>808</v>
      </c>
      <c r="E28" s="322">
        <v>279</v>
      </c>
      <c r="F28" s="322">
        <v>747.83</v>
      </c>
      <c r="G28" s="322">
        <v>0</v>
      </c>
      <c r="H28" s="322">
        <f>TRANSPOSE(Pool!C44:AG44)</f>
        <v>0</v>
      </c>
      <c r="I28" s="325">
        <v>45</v>
      </c>
      <c r="J28" s="327"/>
      <c r="K28" s="329">
        <v>98</v>
      </c>
      <c r="L28" s="332">
        <v>91</v>
      </c>
      <c r="M28" s="335">
        <v>78</v>
      </c>
      <c r="N28" s="327"/>
      <c r="O28" s="339">
        <v>840</v>
      </c>
    </row>
    <row r="29" spans="1:15" x14ac:dyDescent="0.25">
      <c r="A29" s="341">
        <f t="shared" si="0"/>
        <v>45105</v>
      </c>
      <c r="B29" s="356" t="str">
        <f>TEXT(A29,"ddd")</f>
        <v>Wed</v>
      </c>
      <c r="C29" s="322">
        <f>TRANSPOSE(Pool!C32:AG32)</f>
        <v>0</v>
      </c>
      <c r="D29" s="322">
        <v>822</v>
      </c>
      <c r="E29" s="322">
        <v>20</v>
      </c>
      <c r="F29" s="322">
        <v>848.53</v>
      </c>
      <c r="G29" s="322">
        <v>0</v>
      </c>
      <c r="H29" s="322">
        <f>TRANSPOSE(Pool!C45:AG45)</f>
        <v>312.64</v>
      </c>
      <c r="I29" s="325">
        <v>0</v>
      </c>
      <c r="J29" s="327"/>
      <c r="K29" s="329">
        <v>99</v>
      </c>
      <c r="L29" s="332">
        <v>84</v>
      </c>
      <c r="M29" s="335">
        <v>76</v>
      </c>
      <c r="N29" s="327"/>
      <c r="O29" s="339">
        <v>884</v>
      </c>
    </row>
    <row r="30" spans="1:15" x14ac:dyDescent="0.25">
      <c r="A30" s="341">
        <f t="shared" si="0"/>
        <v>45106</v>
      </c>
      <c r="B30" s="356" t="str">
        <f>TEXT(A30,"ddd")</f>
        <v>Thu</v>
      </c>
      <c r="C30" s="322">
        <f>TRANSPOSE(Pool!C33:AG33)</f>
        <v>987</v>
      </c>
      <c r="D30" s="322">
        <v>825</v>
      </c>
      <c r="E30" s="322">
        <v>93</v>
      </c>
      <c r="F30" s="322">
        <v>625.83000000000004</v>
      </c>
      <c r="G30" s="322">
        <v>0</v>
      </c>
      <c r="H30" s="322">
        <f>TRANSPOSE(Pool!C46:AG46)</f>
        <v>9928.24</v>
      </c>
      <c r="I30" s="325">
        <v>0</v>
      </c>
      <c r="J30" s="327"/>
      <c r="K30" s="329">
        <v>99</v>
      </c>
      <c r="L30" s="332">
        <v>90</v>
      </c>
      <c r="M30" s="335">
        <v>78</v>
      </c>
      <c r="N30" s="327"/>
      <c r="O30" s="339">
        <v>902</v>
      </c>
    </row>
    <row r="31" spans="1:15" x14ac:dyDescent="0.25">
      <c r="A31" s="341">
        <f t="shared" si="0"/>
        <v>45107</v>
      </c>
      <c r="B31" s="356" t="str">
        <f>TEXT(A31,"ddd")</f>
        <v>Fri</v>
      </c>
      <c r="C31" s="322">
        <f>TRANSPOSE(Pool!C34:AG34)</f>
        <v>7779.04</v>
      </c>
      <c r="D31" s="322">
        <v>724</v>
      </c>
      <c r="E31" s="322">
        <v>82</v>
      </c>
      <c r="F31" s="322">
        <v>682.38</v>
      </c>
      <c r="G31" s="322">
        <v>0</v>
      </c>
      <c r="H31" s="322">
        <f>TRANSPOSE(Pool!C47:AG47)</f>
        <v>472</v>
      </c>
      <c r="I31" s="325">
        <v>0</v>
      </c>
      <c r="J31" s="327"/>
      <c r="K31" s="329">
        <v>99</v>
      </c>
      <c r="L31" s="332">
        <v>90</v>
      </c>
      <c r="M31" s="335">
        <v>78</v>
      </c>
      <c r="N31" s="327"/>
      <c r="O31" s="339">
        <v>873</v>
      </c>
    </row>
    <row r="32" spans="1:15" ht="15.75" thickBot="1" x14ac:dyDescent="0.3">
      <c r="A32" s="342">
        <f t="shared" si="0"/>
        <v>45108</v>
      </c>
      <c r="B32" s="357" t="str">
        <f>TEXT(A32,"ddd")</f>
        <v>Sat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66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36707.659999999996</v>
      </c>
      <c r="D34" s="345">
        <f t="shared" si="1"/>
        <v>19132</v>
      </c>
      <c r="E34" s="345">
        <f t="shared" si="1"/>
        <v>2127</v>
      </c>
      <c r="F34" s="345">
        <f t="shared" si="1"/>
        <v>23717.790000000005</v>
      </c>
      <c r="G34" s="345">
        <f t="shared" si="1"/>
        <v>0</v>
      </c>
      <c r="H34" s="345">
        <f t="shared" si="1"/>
        <v>67654.59</v>
      </c>
      <c r="I34" s="346">
        <f t="shared" si="1"/>
        <v>945</v>
      </c>
      <c r="J34" s="60"/>
      <c r="K34" s="347">
        <f>Pool!AJ57</f>
        <v>98.285714285714292</v>
      </c>
      <c r="L34" s="348">
        <f>Pool!AJ58</f>
        <v>91.285714285714292</v>
      </c>
      <c r="M34" s="349">
        <f>Pool!AJ59</f>
        <v>77.857142857142861</v>
      </c>
      <c r="N34" s="102"/>
      <c r="O34" s="350">
        <f>SUM(O2:O33)</f>
        <v>23206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M12" sqref="AM12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2" width="9.5703125" style="59" bestFit="1" customWidth="1"/>
    <col min="33" max="33" width="9.5703125" style="59" hidden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June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45078</v>
      </c>
      <c r="D2" s="106">
        <f t="shared" ref="D2:AG2" si="0">C2+1</f>
        <v>45079</v>
      </c>
      <c r="E2" s="106">
        <f t="shared" si="0"/>
        <v>45080</v>
      </c>
      <c r="F2" s="106">
        <f t="shared" si="0"/>
        <v>45081</v>
      </c>
      <c r="G2" s="106">
        <f t="shared" si="0"/>
        <v>45082</v>
      </c>
      <c r="H2" s="106">
        <f t="shared" si="0"/>
        <v>45083</v>
      </c>
      <c r="I2" s="106">
        <f t="shared" si="0"/>
        <v>45084</v>
      </c>
      <c r="J2" s="106">
        <f t="shared" si="0"/>
        <v>45085</v>
      </c>
      <c r="K2" s="106">
        <f t="shared" si="0"/>
        <v>45086</v>
      </c>
      <c r="L2" s="106">
        <f t="shared" si="0"/>
        <v>45087</v>
      </c>
      <c r="M2" s="106">
        <f t="shared" si="0"/>
        <v>45088</v>
      </c>
      <c r="N2" s="106">
        <f t="shared" si="0"/>
        <v>45089</v>
      </c>
      <c r="O2" s="106">
        <f t="shared" si="0"/>
        <v>45090</v>
      </c>
      <c r="P2" s="106">
        <f t="shared" si="0"/>
        <v>45091</v>
      </c>
      <c r="Q2" s="106">
        <f t="shared" si="0"/>
        <v>45092</v>
      </c>
      <c r="R2" s="106">
        <f t="shared" si="0"/>
        <v>45093</v>
      </c>
      <c r="S2" s="106">
        <f t="shared" si="0"/>
        <v>45094</v>
      </c>
      <c r="T2" s="106">
        <f t="shared" si="0"/>
        <v>45095</v>
      </c>
      <c r="U2" s="106">
        <f t="shared" si="0"/>
        <v>45096</v>
      </c>
      <c r="V2" s="106">
        <f t="shared" si="0"/>
        <v>45097</v>
      </c>
      <c r="W2" s="106">
        <f t="shared" si="0"/>
        <v>45098</v>
      </c>
      <c r="X2" s="106">
        <f t="shared" si="0"/>
        <v>45099</v>
      </c>
      <c r="Y2" s="106">
        <f t="shared" si="0"/>
        <v>45100</v>
      </c>
      <c r="Z2" s="106">
        <f t="shared" si="0"/>
        <v>45101</v>
      </c>
      <c r="AA2" s="106">
        <f t="shared" si="0"/>
        <v>45102</v>
      </c>
      <c r="AB2" s="106">
        <f t="shared" si="0"/>
        <v>45103</v>
      </c>
      <c r="AC2" s="106">
        <f t="shared" si="0"/>
        <v>45104</v>
      </c>
      <c r="AD2" s="106">
        <f t="shared" si="0"/>
        <v>45105</v>
      </c>
      <c r="AE2" s="106">
        <f t="shared" si="0"/>
        <v>45106</v>
      </c>
      <c r="AF2" s="106">
        <f t="shared" si="0"/>
        <v>45107</v>
      </c>
      <c r="AG2" s="106">
        <f t="shared" si="0"/>
        <v>45108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>
        <v>27.1</v>
      </c>
      <c r="D3" s="113">
        <v>23.99</v>
      </c>
      <c r="E3" s="113">
        <v>23.03</v>
      </c>
      <c r="F3" s="113">
        <v>17.7</v>
      </c>
      <c r="G3" s="113">
        <v>16.54</v>
      </c>
      <c r="H3" s="113">
        <v>16</v>
      </c>
      <c r="I3" s="113">
        <v>14.12</v>
      </c>
      <c r="J3" s="113">
        <v>21.31</v>
      </c>
      <c r="K3" s="113">
        <v>21.13</v>
      </c>
      <c r="L3" s="113">
        <v>17.32</v>
      </c>
      <c r="M3" s="113">
        <v>12.89</v>
      </c>
      <c r="N3" s="113">
        <v>17.53</v>
      </c>
      <c r="O3" s="113">
        <v>14.07</v>
      </c>
      <c r="P3" s="113">
        <v>19.84</v>
      </c>
      <c r="Q3" s="113">
        <v>22.29</v>
      </c>
      <c r="R3" s="113">
        <v>35.270000000000003</v>
      </c>
      <c r="S3" s="113">
        <v>18.52</v>
      </c>
      <c r="T3" s="113">
        <v>36.450000000000003</v>
      </c>
      <c r="U3" s="113">
        <v>17.27</v>
      </c>
      <c r="V3" s="113">
        <v>25.74</v>
      </c>
      <c r="W3" s="113">
        <v>14.41</v>
      </c>
      <c r="X3" s="113">
        <v>42.51</v>
      </c>
      <c r="Y3" s="113">
        <v>28.91</v>
      </c>
      <c r="Z3" s="113">
        <v>35.520000000000003</v>
      </c>
      <c r="AA3" s="113">
        <v>27.15</v>
      </c>
      <c r="AB3" s="113">
        <v>21.95</v>
      </c>
      <c r="AC3" s="113">
        <v>20.97</v>
      </c>
      <c r="AD3" s="113">
        <v>23.9</v>
      </c>
      <c r="AE3" s="113">
        <v>24.69</v>
      </c>
      <c r="AF3" s="113">
        <v>21.82</v>
      </c>
      <c r="AG3" s="113"/>
      <c r="AH3" s="108">
        <f t="shared" ref="AH3:AH15" si="1">SUM(C3:AG3)</f>
        <v>679.94000000000017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1262</v>
      </c>
      <c r="D4" s="124">
        <v>1313</v>
      </c>
      <c r="E4" s="124">
        <v>2344</v>
      </c>
      <c r="F4" s="124">
        <v>1824.5</v>
      </c>
      <c r="G4" s="124">
        <v>1602.5</v>
      </c>
      <c r="H4" s="124">
        <v>2050</v>
      </c>
      <c r="I4" s="124">
        <v>1965</v>
      </c>
      <c r="J4" s="124">
        <v>1887</v>
      </c>
      <c r="K4" s="124">
        <v>1985</v>
      </c>
      <c r="L4" s="124">
        <v>2149</v>
      </c>
      <c r="M4" s="124">
        <v>2259</v>
      </c>
      <c r="N4" s="124">
        <v>1849</v>
      </c>
      <c r="O4" s="124">
        <v>1838</v>
      </c>
      <c r="P4" s="124">
        <v>1861</v>
      </c>
      <c r="Q4" s="124">
        <v>1767</v>
      </c>
      <c r="R4" s="124">
        <v>2190</v>
      </c>
      <c r="S4" s="124">
        <v>2242</v>
      </c>
      <c r="T4" s="124">
        <v>2893</v>
      </c>
      <c r="U4" s="124">
        <v>2221</v>
      </c>
      <c r="V4" s="124">
        <v>2877</v>
      </c>
      <c r="W4" s="124">
        <v>1974</v>
      </c>
      <c r="X4" s="124">
        <v>2529</v>
      </c>
      <c r="Y4" s="124">
        <v>2322</v>
      </c>
      <c r="Z4" s="124">
        <v>2834</v>
      </c>
      <c r="AA4" s="124">
        <v>2461</v>
      </c>
      <c r="AB4" s="124">
        <v>2713</v>
      </c>
      <c r="AC4" s="124">
        <v>2480</v>
      </c>
      <c r="AD4" s="124">
        <v>2575</v>
      </c>
      <c r="AE4" s="124">
        <v>2256</v>
      </c>
      <c r="AF4" s="124">
        <v>2548</v>
      </c>
      <c r="AG4" s="124"/>
      <c r="AH4" s="108">
        <f t="shared" si="1"/>
        <v>65071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>
        <v>50</v>
      </c>
      <c r="S5" s="125"/>
      <c r="T5" s="125"/>
      <c r="U5" s="125"/>
      <c r="V5" s="125"/>
      <c r="W5" s="125"/>
      <c r="X5" s="125"/>
      <c r="Y5" s="125">
        <v>323.81</v>
      </c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373.81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>
        <v>287.05</v>
      </c>
      <c r="D6" s="125">
        <v>253.92</v>
      </c>
      <c r="E6" s="125">
        <v>243.52</v>
      </c>
      <c r="F6" s="125">
        <v>187.39</v>
      </c>
      <c r="G6" s="125">
        <v>174.82</v>
      </c>
      <c r="H6" s="125">
        <v>169.01</v>
      </c>
      <c r="I6" s="125">
        <v>149.35</v>
      </c>
      <c r="J6" s="125">
        <v>225.23</v>
      </c>
      <c r="K6" s="125">
        <v>223.53</v>
      </c>
      <c r="L6" s="125">
        <v>182.68</v>
      </c>
      <c r="M6" s="125">
        <v>136.27000000000001</v>
      </c>
      <c r="N6" s="125">
        <v>185.43</v>
      </c>
      <c r="O6" s="125">
        <v>149</v>
      </c>
      <c r="P6" s="125">
        <v>210.11</v>
      </c>
      <c r="Q6" s="125">
        <v>235.49</v>
      </c>
      <c r="R6" s="125">
        <v>373.07</v>
      </c>
      <c r="S6" s="125">
        <v>195.86</v>
      </c>
      <c r="T6" s="125">
        <v>386.18</v>
      </c>
      <c r="U6" s="125">
        <v>183.06</v>
      </c>
      <c r="V6" s="125">
        <v>272.20999999999998</v>
      </c>
      <c r="W6" s="125">
        <v>152.72999999999999</v>
      </c>
      <c r="X6" s="125">
        <v>449.43</v>
      </c>
      <c r="Y6" s="125">
        <v>305.88</v>
      </c>
      <c r="Z6" s="125">
        <v>375.49</v>
      </c>
      <c r="AA6" s="125">
        <v>287.88</v>
      </c>
      <c r="AB6" s="125">
        <v>232.66</v>
      </c>
      <c r="AC6" s="125">
        <v>221.69</v>
      </c>
      <c r="AD6" s="125">
        <v>252.76</v>
      </c>
      <c r="AE6" s="125">
        <v>261.18</v>
      </c>
      <c r="AF6" s="125">
        <v>230.83</v>
      </c>
      <c r="AG6" s="125"/>
      <c r="AH6" s="108">
        <f t="shared" si="1"/>
        <v>7193.71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>
        <v>0.44</v>
      </c>
      <c r="F7" s="125">
        <v>0.44</v>
      </c>
      <c r="G7" s="125"/>
      <c r="H7" s="125"/>
      <c r="I7" s="125">
        <v>1.76</v>
      </c>
      <c r="J7" s="125"/>
      <c r="K7" s="125"/>
      <c r="L7" s="125"/>
      <c r="M7" s="125"/>
      <c r="N7" s="125"/>
      <c r="O7" s="125"/>
      <c r="P7" s="125"/>
      <c r="Q7" s="125">
        <v>0.96</v>
      </c>
      <c r="R7" s="125"/>
      <c r="S7" s="125"/>
      <c r="T7" s="125"/>
      <c r="U7" s="125"/>
      <c r="V7" s="125"/>
      <c r="W7" s="125"/>
      <c r="X7" s="125">
        <v>4.8</v>
      </c>
      <c r="Y7" s="125">
        <v>3.84</v>
      </c>
      <c r="Z7" s="125"/>
      <c r="AA7" s="125"/>
      <c r="AB7" s="125">
        <v>0.48</v>
      </c>
      <c r="AC7" s="125">
        <v>0.96</v>
      </c>
      <c r="AD7" s="125">
        <v>1.92</v>
      </c>
      <c r="AE7" s="125"/>
      <c r="AF7" s="125">
        <v>0.96</v>
      </c>
      <c r="AG7" s="125"/>
      <c r="AH7" s="108">
        <f t="shared" si="1"/>
        <v>16.559999999999999</v>
      </c>
      <c r="AJ7" s="162" t="s">
        <v>79</v>
      </c>
      <c r="AK7" s="163" t="s">
        <v>81</v>
      </c>
    </row>
    <row r="8" spans="1:37" ht="16.5" thickBot="1" x14ac:dyDescent="0.3">
      <c r="A8" s="434"/>
      <c r="B8" s="433" t="s">
        <v>191</v>
      </c>
      <c r="C8" s="432">
        <f t="shared" ref="C8:AG8" si="2">SUM(C3:C7)</f>
        <v>1576.1499999999999</v>
      </c>
      <c r="D8" s="432">
        <f t="shared" si="2"/>
        <v>1590.91</v>
      </c>
      <c r="E8" s="432">
        <f t="shared" si="2"/>
        <v>2610.9900000000002</v>
      </c>
      <c r="F8" s="432">
        <f t="shared" si="2"/>
        <v>2030.0300000000002</v>
      </c>
      <c r="G8" s="432">
        <f t="shared" si="2"/>
        <v>1793.86</v>
      </c>
      <c r="H8" s="432">
        <f t="shared" si="2"/>
        <v>2235.0100000000002</v>
      </c>
      <c r="I8" s="432">
        <f t="shared" si="2"/>
        <v>2130.23</v>
      </c>
      <c r="J8" s="432">
        <f t="shared" si="2"/>
        <v>2133.54</v>
      </c>
      <c r="K8" s="432">
        <f t="shared" si="2"/>
        <v>2229.6600000000003</v>
      </c>
      <c r="L8" s="432">
        <f t="shared" si="2"/>
        <v>2349</v>
      </c>
      <c r="M8" s="432">
        <f t="shared" si="2"/>
        <v>2408.16</v>
      </c>
      <c r="N8" s="432">
        <f t="shared" si="2"/>
        <v>2051.96</v>
      </c>
      <c r="O8" s="432">
        <f t="shared" si="2"/>
        <v>2001.07</v>
      </c>
      <c r="P8" s="432">
        <f t="shared" si="2"/>
        <v>2090.9499999999998</v>
      </c>
      <c r="Q8" s="432">
        <f t="shared" si="2"/>
        <v>2025.74</v>
      </c>
      <c r="R8" s="432">
        <f t="shared" si="2"/>
        <v>2648.34</v>
      </c>
      <c r="S8" s="432">
        <f t="shared" si="2"/>
        <v>2456.38</v>
      </c>
      <c r="T8" s="432">
        <f t="shared" si="2"/>
        <v>3315.6299999999997</v>
      </c>
      <c r="U8" s="432">
        <f t="shared" si="2"/>
        <v>2421.33</v>
      </c>
      <c r="V8" s="432">
        <f t="shared" si="2"/>
        <v>3174.95</v>
      </c>
      <c r="W8" s="432">
        <f t="shared" si="2"/>
        <v>2141.14</v>
      </c>
      <c r="X8" s="432">
        <f t="shared" si="2"/>
        <v>3025.7400000000002</v>
      </c>
      <c r="Y8" s="432">
        <f t="shared" si="2"/>
        <v>2984.44</v>
      </c>
      <c r="Z8" s="432">
        <f t="shared" si="2"/>
        <v>3245.01</v>
      </c>
      <c r="AA8" s="432">
        <f t="shared" si="2"/>
        <v>2776.03</v>
      </c>
      <c r="AB8" s="432">
        <f t="shared" si="2"/>
        <v>2968.0899999999997</v>
      </c>
      <c r="AC8" s="432">
        <f t="shared" si="2"/>
        <v>2723.62</v>
      </c>
      <c r="AD8" s="432">
        <f t="shared" si="2"/>
        <v>2853.58</v>
      </c>
      <c r="AE8" s="432">
        <f t="shared" si="2"/>
        <v>2541.87</v>
      </c>
      <c r="AF8" s="432">
        <f t="shared" si="2"/>
        <v>2801.61</v>
      </c>
      <c r="AG8" s="432">
        <f t="shared" si="2"/>
        <v>0</v>
      </c>
      <c r="AH8" s="431">
        <f t="shared" si="1"/>
        <v>73335.01999999999</v>
      </c>
      <c r="AJ8" s="162"/>
      <c r="AK8" s="163"/>
    </row>
    <row r="9" spans="1:37" ht="15.75" x14ac:dyDescent="0.25">
      <c r="A9" s="430" t="s">
        <v>61</v>
      </c>
      <c r="B9" s="429" t="s">
        <v>83</v>
      </c>
      <c r="C9" s="428">
        <v>21.15</v>
      </c>
      <c r="D9" s="107">
        <v>5.85</v>
      </c>
      <c r="E9" s="427">
        <v>17.79</v>
      </c>
      <c r="F9" s="427">
        <v>14.16</v>
      </c>
      <c r="G9" s="427">
        <v>13.15</v>
      </c>
      <c r="H9" s="427">
        <v>18.29</v>
      </c>
      <c r="I9" s="427">
        <f>100.83-90.59</f>
        <v>10.239999999999995</v>
      </c>
      <c r="J9" s="427">
        <v>22.98</v>
      </c>
      <c r="K9" s="427">
        <v>11.09</v>
      </c>
      <c r="L9" s="427">
        <v>9.59</v>
      </c>
      <c r="M9" s="427">
        <v>9.32</v>
      </c>
      <c r="N9" s="427">
        <v>20.83</v>
      </c>
      <c r="O9" s="427">
        <v>13.58</v>
      </c>
      <c r="P9" s="427">
        <v>20.25</v>
      </c>
      <c r="Q9" s="427">
        <v>10.27</v>
      </c>
      <c r="R9" s="427">
        <v>9.94</v>
      </c>
      <c r="S9" s="427">
        <v>24.66</v>
      </c>
      <c r="T9" s="427">
        <v>35.9</v>
      </c>
      <c r="U9" s="427">
        <v>14.95</v>
      </c>
      <c r="V9" s="427">
        <v>13.53</v>
      </c>
      <c r="W9" s="427">
        <v>26.06</v>
      </c>
      <c r="X9" s="427">
        <v>22.08</v>
      </c>
      <c r="Y9" s="427">
        <v>19.29</v>
      </c>
      <c r="Z9" s="427">
        <v>32.24</v>
      </c>
      <c r="AA9" s="427">
        <v>31.32</v>
      </c>
      <c r="AB9" s="427">
        <v>27.07</v>
      </c>
      <c r="AC9" s="427">
        <v>25.51</v>
      </c>
      <c r="AD9" s="427">
        <v>28.28</v>
      </c>
      <c r="AE9" s="427">
        <v>25.17</v>
      </c>
      <c r="AF9" s="427">
        <v>19.82</v>
      </c>
      <c r="AG9" s="427"/>
      <c r="AH9" s="426">
        <f t="shared" si="1"/>
        <v>574.36</v>
      </c>
      <c r="AJ9" s="424"/>
      <c r="AK9" s="423"/>
    </row>
    <row r="10" spans="1:37" ht="15.75" x14ac:dyDescent="0.25">
      <c r="A10" s="122" t="s">
        <v>69</v>
      </c>
      <c r="B10" s="123" t="s">
        <v>70</v>
      </c>
      <c r="C10" s="425">
        <v>898</v>
      </c>
      <c r="D10" s="125">
        <v>728</v>
      </c>
      <c r="E10" s="153">
        <v>1317</v>
      </c>
      <c r="F10" s="153">
        <v>1195</v>
      </c>
      <c r="G10" s="153">
        <v>872</v>
      </c>
      <c r="H10" s="153">
        <v>1420</v>
      </c>
      <c r="I10" s="153">
        <v>892</v>
      </c>
      <c r="J10" s="153">
        <v>1291</v>
      </c>
      <c r="K10" s="153">
        <v>1180</v>
      </c>
      <c r="L10" s="153">
        <v>1519</v>
      </c>
      <c r="M10" s="153">
        <v>1648</v>
      </c>
      <c r="N10" s="153">
        <v>1409</v>
      </c>
      <c r="O10" s="153">
        <v>1246</v>
      </c>
      <c r="P10" s="153">
        <v>945</v>
      </c>
      <c r="Q10" s="153">
        <v>1466</v>
      </c>
      <c r="R10" s="153">
        <v>1107</v>
      </c>
      <c r="S10" s="153">
        <f>2495-7</f>
        <v>2488</v>
      </c>
      <c r="T10" s="153">
        <v>2679</v>
      </c>
      <c r="U10" s="153">
        <v>1703</v>
      </c>
      <c r="V10" s="153">
        <v>1792</v>
      </c>
      <c r="W10" s="153">
        <v>1841</v>
      </c>
      <c r="X10" s="153">
        <v>1523</v>
      </c>
      <c r="Y10" s="153">
        <v>1821</v>
      </c>
      <c r="Z10" s="153">
        <v>2585</v>
      </c>
      <c r="AA10" s="153">
        <v>1686</v>
      </c>
      <c r="AB10" s="153">
        <f>2076-7</f>
        <v>2069</v>
      </c>
      <c r="AC10" s="153">
        <f>1861-7</f>
        <v>1854</v>
      </c>
      <c r="AD10" s="153">
        <v>1841</v>
      </c>
      <c r="AE10" s="153">
        <v>1714</v>
      </c>
      <c r="AF10" s="153">
        <v>1414</v>
      </c>
      <c r="AG10" s="153"/>
      <c r="AH10" s="420">
        <f t="shared" si="1"/>
        <v>46143</v>
      </c>
      <c r="AJ10" s="424"/>
      <c r="AK10" s="423"/>
    </row>
    <row r="11" spans="1:37" ht="15.75" x14ac:dyDescent="0.25">
      <c r="A11" s="122" t="s">
        <v>80</v>
      </c>
      <c r="B11" s="123" t="s">
        <v>82</v>
      </c>
      <c r="C11" s="425"/>
      <c r="D11" s="125"/>
      <c r="E11" s="153"/>
      <c r="F11" s="153"/>
      <c r="G11" s="153"/>
      <c r="H11" s="153"/>
      <c r="I11" s="153"/>
      <c r="J11" s="153"/>
      <c r="K11" s="153"/>
      <c r="L11" s="153">
        <v>20</v>
      </c>
      <c r="M11" s="153"/>
      <c r="N11" s="153"/>
      <c r="O11" s="153">
        <v>83.08</v>
      </c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0">
        <f t="shared" si="1"/>
        <v>103.08</v>
      </c>
      <c r="AJ11" s="424"/>
      <c r="AK11" s="423"/>
    </row>
    <row r="12" spans="1:37" ht="15.75" x14ac:dyDescent="0.25">
      <c r="A12" s="122" t="s">
        <v>79</v>
      </c>
      <c r="B12" s="123" t="s">
        <v>201</v>
      </c>
      <c r="C12" s="425">
        <v>223.85</v>
      </c>
      <c r="D12" s="125">
        <v>61.51</v>
      </c>
      <c r="E12" s="153">
        <v>188.37</v>
      </c>
      <c r="F12" s="153">
        <v>149.84</v>
      </c>
      <c r="G12" s="153">
        <v>139.02000000000001</v>
      </c>
      <c r="H12" s="153">
        <v>193.98</v>
      </c>
      <c r="I12" s="153">
        <f>1067.16-958.64</f>
        <v>108.5200000000001</v>
      </c>
      <c r="J12" s="153">
        <v>242.47</v>
      </c>
      <c r="K12" s="153">
        <v>117.16</v>
      </c>
      <c r="L12" s="153">
        <v>101.49</v>
      </c>
      <c r="M12" s="153">
        <v>98.58</v>
      </c>
      <c r="N12" s="153">
        <v>219.52</v>
      </c>
      <c r="O12" s="153">
        <v>144.09</v>
      </c>
      <c r="P12" s="153">
        <v>214.53</v>
      </c>
      <c r="Q12" s="153">
        <v>108.76</v>
      </c>
      <c r="R12" s="153">
        <v>105.08</v>
      </c>
      <c r="S12" s="153">
        <v>261.20999999999998</v>
      </c>
      <c r="T12" s="153">
        <v>379.42</v>
      </c>
      <c r="U12" s="153">
        <v>158.18</v>
      </c>
      <c r="V12" s="153">
        <v>143.24</v>
      </c>
      <c r="W12" s="153">
        <v>275.7</v>
      </c>
      <c r="X12" s="153">
        <v>233.63</v>
      </c>
      <c r="Y12" s="153">
        <v>194.13</v>
      </c>
      <c r="Z12" s="153">
        <v>341.57</v>
      </c>
      <c r="AA12" s="153">
        <v>331.33</v>
      </c>
      <c r="AB12" s="153">
        <v>287.02</v>
      </c>
      <c r="AC12" s="153">
        <v>269.89</v>
      </c>
      <c r="AD12" s="153">
        <v>299.07</v>
      </c>
      <c r="AE12" s="153">
        <v>266.01</v>
      </c>
      <c r="AF12" s="153">
        <v>209.12</v>
      </c>
      <c r="AG12" s="153"/>
      <c r="AH12" s="420">
        <f t="shared" si="1"/>
        <v>6066.2900000000009</v>
      </c>
      <c r="AJ12" s="424"/>
      <c r="AK12" s="423"/>
    </row>
    <row r="13" spans="1:37" ht="15.75" x14ac:dyDescent="0.25">
      <c r="A13" s="122" t="s">
        <v>79</v>
      </c>
      <c r="B13" s="123" t="s">
        <v>81</v>
      </c>
      <c r="C13" s="425"/>
      <c r="D13" s="125"/>
      <c r="E13" s="153"/>
      <c r="F13" s="153"/>
      <c r="G13" s="153"/>
      <c r="H13" s="153"/>
      <c r="I13" s="153"/>
      <c r="J13" s="153">
        <v>2.4</v>
      </c>
      <c r="K13" s="153">
        <v>0.96</v>
      </c>
      <c r="L13" s="153"/>
      <c r="M13" s="153"/>
      <c r="N13" s="153">
        <v>2.88</v>
      </c>
      <c r="O13" s="153">
        <v>1.44</v>
      </c>
      <c r="P13" s="153"/>
      <c r="Q13" s="153"/>
      <c r="R13" s="153"/>
      <c r="S13" s="153"/>
      <c r="T13" s="153"/>
      <c r="U13" s="153"/>
      <c r="V13" s="153">
        <v>0.48</v>
      </c>
      <c r="W13" s="153"/>
      <c r="X13" s="153"/>
      <c r="Y13" s="153">
        <v>1.44</v>
      </c>
      <c r="Z13" s="153"/>
      <c r="AA13" s="153"/>
      <c r="AB13" s="153"/>
      <c r="AC13" s="153">
        <v>1.44</v>
      </c>
      <c r="AD13" s="153"/>
      <c r="AE13" s="153"/>
      <c r="AF13" s="153">
        <v>0.96</v>
      </c>
      <c r="AG13" s="153"/>
      <c r="AH13" s="420">
        <f t="shared" si="1"/>
        <v>12</v>
      </c>
      <c r="AJ13" s="424"/>
      <c r="AK13" s="423"/>
    </row>
    <row r="14" spans="1:37" ht="16.5" thickBot="1" x14ac:dyDescent="0.3">
      <c r="A14" s="132"/>
      <c r="B14" s="422" t="s">
        <v>190</v>
      </c>
      <c r="C14" s="421">
        <f t="shared" ref="C14:AG14" si="3">SUM(C9:C13)</f>
        <v>1143</v>
      </c>
      <c r="D14" s="421">
        <f t="shared" si="3"/>
        <v>795.36</v>
      </c>
      <c r="E14" s="421">
        <f t="shared" si="3"/>
        <v>1523.1599999999999</v>
      </c>
      <c r="F14" s="421">
        <f t="shared" si="3"/>
        <v>1359</v>
      </c>
      <c r="G14" s="421">
        <f t="shared" si="3"/>
        <v>1024.17</v>
      </c>
      <c r="H14" s="421">
        <f t="shared" si="3"/>
        <v>1632.27</v>
      </c>
      <c r="I14" s="421">
        <f t="shared" si="3"/>
        <v>1010.7600000000001</v>
      </c>
      <c r="J14" s="421">
        <f t="shared" si="3"/>
        <v>1558.8500000000001</v>
      </c>
      <c r="K14" s="421">
        <f t="shared" si="3"/>
        <v>1309.21</v>
      </c>
      <c r="L14" s="421">
        <f t="shared" si="3"/>
        <v>1650.08</v>
      </c>
      <c r="M14" s="421">
        <f t="shared" si="3"/>
        <v>1755.8999999999999</v>
      </c>
      <c r="N14" s="421">
        <f t="shared" si="3"/>
        <v>1652.23</v>
      </c>
      <c r="O14" s="421">
        <f t="shared" si="3"/>
        <v>1488.1899999999998</v>
      </c>
      <c r="P14" s="421">
        <f t="shared" si="3"/>
        <v>1179.78</v>
      </c>
      <c r="Q14" s="421">
        <f t="shared" si="3"/>
        <v>1585.03</v>
      </c>
      <c r="R14" s="421">
        <f t="shared" si="3"/>
        <v>1222.02</v>
      </c>
      <c r="S14" s="421">
        <f t="shared" si="3"/>
        <v>2773.87</v>
      </c>
      <c r="T14" s="421">
        <f t="shared" si="3"/>
        <v>3094.32</v>
      </c>
      <c r="U14" s="421">
        <f t="shared" si="3"/>
        <v>1876.13</v>
      </c>
      <c r="V14" s="421">
        <f t="shared" si="3"/>
        <v>1949.25</v>
      </c>
      <c r="W14" s="421">
        <f t="shared" si="3"/>
        <v>2142.7599999999998</v>
      </c>
      <c r="X14" s="421">
        <f t="shared" si="3"/>
        <v>1778.71</v>
      </c>
      <c r="Y14" s="421">
        <f t="shared" si="3"/>
        <v>2035.8600000000001</v>
      </c>
      <c r="Z14" s="421">
        <f t="shared" si="3"/>
        <v>2958.81</v>
      </c>
      <c r="AA14" s="421">
        <f t="shared" si="3"/>
        <v>2048.65</v>
      </c>
      <c r="AB14" s="421">
        <f t="shared" si="3"/>
        <v>2383.09</v>
      </c>
      <c r="AC14" s="421">
        <f t="shared" si="3"/>
        <v>2150.84</v>
      </c>
      <c r="AD14" s="421">
        <f t="shared" si="3"/>
        <v>2168.35</v>
      </c>
      <c r="AE14" s="421">
        <f t="shared" si="3"/>
        <v>2005.18</v>
      </c>
      <c r="AF14" s="421">
        <f t="shared" si="3"/>
        <v>1643.9</v>
      </c>
      <c r="AG14" s="421">
        <f t="shared" si="3"/>
        <v>0</v>
      </c>
      <c r="AH14" s="420">
        <f t="shared" si="1"/>
        <v>52898.729999999989</v>
      </c>
      <c r="AJ14" s="77"/>
      <c r="AK14" s="78"/>
    </row>
    <row r="15" spans="1:37" x14ac:dyDescent="0.25">
      <c r="A15" s="134"/>
      <c r="B15" s="414" t="s">
        <v>64</v>
      </c>
      <c r="C15" s="413">
        <f t="shared" ref="C15:AG15" si="4">SUM(C3:C7,C9:C13)</f>
        <v>2719.15</v>
      </c>
      <c r="D15" s="413">
        <f t="shared" si="4"/>
        <v>2386.2700000000004</v>
      </c>
      <c r="E15" s="413">
        <f t="shared" si="4"/>
        <v>4134.1500000000005</v>
      </c>
      <c r="F15" s="413">
        <f t="shared" si="4"/>
        <v>3389.0300000000007</v>
      </c>
      <c r="G15" s="413">
        <f t="shared" si="4"/>
        <v>2818.03</v>
      </c>
      <c r="H15" s="413">
        <f t="shared" si="4"/>
        <v>3867.28</v>
      </c>
      <c r="I15" s="413">
        <f t="shared" si="4"/>
        <v>3140.99</v>
      </c>
      <c r="J15" s="413">
        <f t="shared" si="4"/>
        <v>3692.39</v>
      </c>
      <c r="K15" s="413">
        <f t="shared" si="4"/>
        <v>3538.8700000000003</v>
      </c>
      <c r="L15" s="413">
        <f t="shared" si="4"/>
        <v>3999.08</v>
      </c>
      <c r="M15" s="413">
        <f t="shared" si="4"/>
        <v>4164.0600000000004</v>
      </c>
      <c r="N15" s="413">
        <f t="shared" si="4"/>
        <v>3704.19</v>
      </c>
      <c r="O15" s="413">
        <f t="shared" si="4"/>
        <v>3489.2599999999998</v>
      </c>
      <c r="P15" s="413">
        <f t="shared" si="4"/>
        <v>3270.73</v>
      </c>
      <c r="Q15" s="413">
        <f t="shared" si="4"/>
        <v>3610.7700000000004</v>
      </c>
      <c r="R15" s="413">
        <f t="shared" si="4"/>
        <v>3870.36</v>
      </c>
      <c r="S15" s="413">
        <f t="shared" si="4"/>
        <v>5230.25</v>
      </c>
      <c r="T15" s="413">
        <f t="shared" si="4"/>
        <v>6409.95</v>
      </c>
      <c r="U15" s="413">
        <f t="shared" si="4"/>
        <v>4297.46</v>
      </c>
      <c r="V15" s="413">
        <f t="shared" si="4"/>
        <v>5124.1999999999989</v>
      </c>
      <c r="W15" s="413">
        <f t="shared" si="4"/>
        <v>4283.8999999999996</v>
      </c>
      <c r="X15" s="413">
        <f t="shared" si="4"/>
        <v>4804.45</v>
      </c>
      <c r="Y15" s="413">
        <f t="shared" si="4"/>
        <v>5020.2999999999993</v>
      </c>
      <c r="Z15" s="413">
        <f t="shared" si="4"/>
        <v>6203.82</v>
      </c>
      <c r="AA15" s="413">
        <f t="shared" si="4"/>
        <v>4824.68</v>
      </c>
      <c r="AB15" s="413">
        <f t="shared" si="4"/>
        <v>5351.18</v>
      </c>
      <c r="AC15" s="413">
        <f t="shared" si="4"/>
        <v>4874.46</v>
      </c>
      <c r="AD15" s="413">
        <f t="shared" si="4"/>
        <v>5021.93</v>
      </c>
      <c r="AE15" s="413">
        <f t="shared" si="4"/>
        <v>4547.05</v>
      </c>
      <c r="AF15" s="413">
        <f t="shared" si="4"/>
        <v>4445.51</v>
      </c>
      <c r="AG15" s="413">
        <f t="shared" si="4"/>
        <v>0</v>
      </c>
      <c r="AH15" s="109">
        <f t="shared" si="1"/>
        <v>126233.75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9"/>
      <c r="AJ17" s="518" t="s">
        <v>127</v>
      </c>
      <c r="AK17" s="519"/>
      <c r="AL17" s="519"/>
      <c r="AM17" s="520"/>
    </row>
    <row r="18" spans="1:40" ht="16.5" thickBot="1" x14ac:dyDescent="0.3">
      <c r="A18" s="367" t="str">
        <f>'[1]TEMP Summary'!A12</f>
        <v>01-00-1000</v>
      </c>
      <c r="B18" s="452" t="s">
        <v>189</v>
      </c>
      <c r="C18" s="435">
        <v>502.7</v>
      </c>
      <c r="D18" s="436">
        <v>412.88</v>
      </c>
      <c r="E18" s="436">
        <v>1027.2</v>
      </c>
      <c r="F18" s="436">
        <v>881.96</v>
      </c>
      <c r="G18" s="436">
        <v>561.29</v>
      </c>
      <c r="H18" s="436">
        <v>729.27</v>
      </c>
      <c r="I18" s="436">
        <v>752.43</v>
      </c>
      <c r="J18" s="436">
        <v>902.99</v>
      </c>
      <c r="K18" s="436">
        <v>665.51</v>
      </c>
      <c r="L18" s="436">
        <v>887.81</v>
      </c>
      <c r="M18" s="436">
        <v>634.79</v>
      </c>
      <c r="N18" s="436">
        <v>528.29999999999995</v>
      </c>
      <c r="O18" s="436">
        <v>672.53</v>
      </c>
      <c r="P18" s="436">
        <v>737.11</v>
      </c>
      <c r="Q18" s="436">
        <v>697.16</v>
      </c>
      <c r="R18" s="436">
        <v>858.69</v>
      </c>
      <c r="S18" s="436">
        <v>674.9</v>
      </c>
      <c r="T18" s="107">
        <v>951.76</v>
      </c>
      <c r="U18" s="107">
        <v>939.31</v>
      </c>
      <c r="V18" s="107">
        <v>1079.6300000000001</v>
      </c>
      <c r="W18" s="107">
        <v>943.31</v>
      </c>
      <c r="X18" s="107">
        <v>1181.1099999999999</v>
      </c>
      <c r="Y18" s="107">
        <f>802.35+323.81</f>
        <v>1126.1600000000001</v>
      </c>
      <c r="Z18" s="107">
        <v>961.45</v>
      </c>
      <c r="AA18" s="107">
        <v>739.95</v>
      </c>
      <c r="AB18" s="107">
        <v>910.05</v>
      </c>
      <c r="AC18" s="107">
        <v>1089.1400000000001</v>
      </c>
      <c r="AD18" s="107">
        <v>819.73</v>
      </c>
      <c r="AE18" s="107">
        <v>858.39</v>
      </c>
      <c r="AF18" s="494">
        <v>739.65</v>
      </c>
      <c r="AG18" s="495"/>
      <c r="AH18" s="418">
        <f t="shared" ref="AH18:AH24" si="5">SUM(C18:AG18)</f>
        <v>24467.16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3" t="s">
        <v>188</v>
      </c>
      <c r="C19" s="437">
        <v>353.55</v>
      </c>
      <c r="D19" s="438">
        <v>325.07</v>
      </c>
      <c r="E19" s="438">
        <v>570.04</v>
      </c>
      <c r="F19" s="438">
        <v>544.4</v>
      </c>
      <c r="G19" s="438">
        <v>247.87</v>
      </c>
      <c r="H19" s="438">
        <v>650.04999999999995</v>
      </c>
      <c r="I19" s="438">
        <v>478.14</v>
      </c>
      <c r="J19" s="438">
        <f>472.77+5</f>
        <v>477.77</v>
      </c>
      <c r="K19" s="438">
        <v>315.42</v>
      </c>
      <c r="L19" s="438">
        <v>811.78</v>
      </c>
      <c r="M19" s="438">
        <v>552.14</v>
      </c>
      <c r="N19" s="438">
        <v>401.07</v>
      </c>
      <c r="O19" s="438">
        <v>617.25</v>
      </c>
      <c r="P19" s="438">
        <v>319.60000000000002</v>
      </c>
      <c r="Q19" s="438">
        <v>458.59</v>
      </c>
      <c r="R19" s="438">
        <v>384.82</v>
      </c>
      <c r="S19" s="438">
        <v>1035.1099999999999</v>
      </c>
      <c r="T19" s="125">
        <v>714.25</v>
      </c>
      <c r="U19" s="125">
        <v>685.92</v>
      </c>
      <c r="V19" s="125">
        <v>640.77</v>
      </c>
      <c r="W19" s="125">
        <v>650.63</v>
      </c>
      <c r="X19" s="125">
        <v>502.75</v>
      </c>
      <c r="Y19" s="125">
        <v>838.07</v>
      </c>
      <c r="Z19" s="125">
        <v>826.51</v>
      </c>
      <c r="AA19" s="125">
        <v>747.39</v>
      </c>
      <c r="AB19" s="125">
        <v>710.06</v>
      </c>
      <c r="AC19" s="125">
        <v>850.84</v>
      </c>
      <c r="AD19" s="125">
        <v>984.9</v>
      </c>
      <c r="AE19" s="491">
        <v>672.86</v>
      </c>
      <c r="AF19" s="491">
        <v>591.28</v>
      </c>
      <c r="AG19" s="492"/>
      <c r="AH19" s="417">
        <f t="shared" si="5"/>
        <v>17958.899999999998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3" t="s">
        <v>187</v>
      </c>
      <c r="C20" s="483">
        <v>1073.45</v>
      </c>
      <c r="D20" s="487">
        <v>1178.03</v>
      </c>
      <c r="E20" s="487">
        <v>1583.79</v>
      </c>
      <c r="F20" s="487">
        <v>1148.07</v>
      </c>
      <c r="G20" s="487">
        <v>1232.57</v>
      </c>
      <c r="H20" s="487">
        <v>1505.74</v>
      </c>
      <c r="I20" s="487">
        <v>1377.8</v>
      </c>
      <c r="J20" s="487">
        <v>1252.55</v>
      </c>
      <c r="K20" s="487">
        <v>1564.15</v>
      </c>
      <c r="L20" s="487">
        <v>1461.19</v>
      </c>
      <c r="M20" s="487">
        <v>1773.37</v>
      </c>
      <c r="N20" s="487">
        <v>1523.66</v>
      </c>
      <c r="O20" s="487">
        <v>1328.54</v>
      </c>
      <c r="P20" s="487">
        <v>1263.8399999999999</v>
      </c>
      <c r="Q20" s="487">
        <v>1328.58</v>
      </c>
      <c r="R20" s="487">
        <v>1789.7</v>
      </c>
      <c r="S20" s="487">
        <v>1781.48</v>
      </c>
      <c r="T20" s="487">
        <v>2363.87</v>
      </c>
      <c r="U20" s="487">
        <v>1482.02</v>
      </c>
      <c r="V20" s="487">
        <v>2095.3200000000002</v>
      </c>
      <c r="W20" s="487">
        <v>1197.83</v>
      </c>
      <c r="X20" s="487">
        <v>1844.63</v>
      </c>
      <c r="Y20" s="487">
        <v>1858.28</v>
      </c>
      <c r="Z20" s="487">
        <v>2283.56</v>
      </c>
      <c r="AA20" s="487">
        <v>2036.08</v>
      </c>
      <c r="AB20" s="499">
        <v>2058.04</v>
      </c>
      <c r="AC20" s="499">
        <v>1634.48</v>
      </c>
      <c r="AD20" s="499">
        <v>2033.85</v>
      </c>
      <c r="AE20" s="499">
        <v>1683.48</v>
      </c>
      <c r="AF20" s="499">
        <v>2061.96</v>
      </c>
      <c r="AG20" s="492"/>
      <c r="AH20" s="417">
        <f t="shared" si="5"/>
        <v>48799.91</v>
      </c>
      <c r="AJ20" s="126" t="s">
        <v>60</v>
      </c>
      <c r="AK20" s="127" t="s">
        <v>54</v>
      </c>
      <c r="AL20" s="450">
        <f>SUM(C18:AD19,AE18)</f>
        <v>40422.269999999982</v>
      </c>
      <c r="AM20" s="451">
        <f>SUM(AF18:AG19,AE19)</f>
        <v>2003.79</v>
      </c>
    </row>
    <row r="21" spans="1:40" ht="15.75" x14ac:dyDescent="0.25">
      <c r="A21" s="368" t="str">
        <f>'[1]TEMP Summary'!A15</f>
        <v>01-00-1000</v>
      </c>
      <c r="B21" s="453" t="s">
        <v>186</v>
      </c>
      <c r="C21" s="483">
        <v>789.45</v>
      </c>
      <c r="D21" s="487">
        <v>470.29</v>
      </c>
      <c r="E21" s="487">
        <v>953.12</v>
      </c>
      <c r="F21" s="487">
        <v>814.6</v>
      </c>
      <c r="G21" s="487">
        <v>776.3</v>
      </c>
      <c r="H21" s="487">
        <v>982.22</v>
      </c>
      <c r="I21" s="487">
        <v>532.62</v>
      </c>
      <c r="J21" s="487">
        <v>1086.08</v>
      </c>
      <c r="K21" s="487">
        <v>993.79</v>
      </c>
      <c r="L21" s="487">
        <v>838.3</v>
      </c>
      <c r="M21" s="487">
        <v>1203.76</v>
      </c>
      <c r="N21" s="487">
        <v>1251.1600000000001</v>
      </c>
      <c r="O21" s="487">
        <v>870.94</v>
      </c>
      <c r="P21" s="487">
        <v>860.18</v>
      </c>
      <c r="Q21" s="487">
        <v>1126.44</v>
      </c>
      <c r="R21" s="487">
        <v>837.2</v>
      </c>
      <c r="S21" s="487">
        <v>1738.76</v>
      </c>
      <c r="T21" s="487">
        <v>2380.0700000000002</v>
      </c>
      <c r="U21" s="487">
        <v>1190.21</v>
      </c>
      <c r="V21" s="487">
        <v>1308.48</v>
      </c>
      <c r="W21" s="487">
        <v>1492.13</v>
      </c>
      <c r="X21" s="487">
        <v>1275.96</v>
      </c>
      <c r="Y21" s="487">
        <v>1197.79</v>
      </c>
      <c r="Z21" s="487">
        <v>2132.3000000000002</v>
      </c>
      <c r="AA21" s="487">
        <v>1301.26</v>
      </c>
      <c r="AB21" s="499">
        <v>1673.03</v>
      </c>
      <c r="AC21" s="499">
        <v>1301</v>
      </c>
      <c r="AD21" s="499">
        <v>1183.45</v>
      </c>
      <c r="AE21" s="499">
        <v>1332.32</v>
      </c>
      <c r="AF21" s="499">
        <v>1052.6199999999999</v>
      </c>
      <c r="AG21" s="492"/>
      <c r="AH21" s="417">
        <f t="shared" si="5"/>
        <v>34945.83</v>
      </c>
      <c r="AJ21" s="129" t="s">
        <v>60</v>
      </c>
      <c r="AK21" s="130" t="s">
        <v>202</v>
      </c>
      <c r="AL21" s="290">
        <f>SUM(C20:AA21)-SUM(C29:AA29)</f>
        <v>65699.900000000009</v>
      </c>
      <c r="AM21" s="291">
        <f>SUM(AB20:AG21)-SUM(AB29:AG29)</f>
        <v>15533.890000000003</v>
      </c>
    </row>
    <row r="22" spans="1:40" ht="15.75" x14ac:dyDescent="0.25">
      <c r="A22" s="368" t="s">
        <v>60</v>
      </c>
      <c r="B22" s="459" t="s">
        <v>204</v>
      </c>
      <c r="C22" s="460"/>
      <c r="D22" s="461"/>
      <c r="E22" s="461"/>
      <c r="F22" s="489">
        <v>110.05</v>
      </c>
      <c r="G22" s="461"/>
      <c r="H22" s="461"/>
      <c r="I22" s="461"/>
      <c r="J22" s="461"/>
      <c r="K22" s="461"/>
      <c r="L22" s="461"/>
      <c r="M22" s="461"/>
      <c r="N22" s="461"/>
      <c r="O22" s="461"/>
      <c r="P22" s="489">
        <v>173.79</v>
      </c>
      <c r="Q22" s="461"/>
      <c r="R22" s="461"/>
      <c r="S22" s="461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2"/>
      <c r="AH22" s="417">
        <f t="shared" si="5"/>
        <v>283.83999999999997</v>
      </c>
      <c r="AJ22" s="361" t="s">
        <v>60</v>
      </c>
      <c r="AK22" s="362" t="s">
        <v>206</v>
      </c>
      <c r="AL22" s="363">
        <f>SUM(C22:AE23)</f>
        <v>316.83999999999997</v>
      </c>
      <c r="AM22" s="364">
        <f>SUM(AF22:AG23)</f>
        <v>0</v>
      </c>
    </row>
    <row r="23" spans="1:40" ht="16.5" thickBot="1" x14ac:dyDescent="0.3">
      <c r="A23" s="369" t="s">
        <v>60</v>
      </c>
      <c r="B23" s="454" t="s">
        <v>205</v>
      </c>
      <c r="C23" s="365"/>
      <c r="D23" s="366"/>
      <c r="E23" s="366"/>
      <c r="F23" s="366"/>
      <c r="G23" s="366"/>
      <c r="H23" s="490">
        <v>33</v>
      </c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57"/>
      <c r="AH23" s="416">
        <f t="shared" si="5"/>
        <v>33</v>
      </c>
      <c r="AJ23" s="361"/>
      <c r="AK23" s="362"/>
      <c r="AL23" s="363"/>
      <c r="AM23" s="364"/>
    </row>
    <row r="24" spans="1:40" ht="16.5" thickBot="1" x14ac:dyDescent="0.3">
      <c r="A24" s="455"/>
      <c r="B24" s="456" t="s">
        <v>65</v>
      </c>
      <c r="C24" s="471">
        <f>SUM(C18:C23)</f>
        <v>2719.15</v>
      </c>
      <c r="D24" s="472">
        <f t="shared" ref="D24:AG24" si="6">SUM(D18:D23)</f>
        <v>2386.27</v>
      </c>
      <c r="E24" s="472">
        <f t="shared" si="6"/>
        <v>4134.1499999999996</v>
      </c>
      <c r="F24" s="472">
        <f t="shared" si="6"/>
        <v>3499.0800000000004</v>
      </c>
      <c r="G24" s="472">
        <f t="shared" si="6"/>
        <v>2818.0299999999997</v>
      </c>
      <c r="H24" s="472">
        <f t="shared" si="6"/>
        <v>3900.2799999999997</v>
      </c>
      <c r="I24" s="472">
        <f t="shared" si="6"/>
        <v>3140.99</v>
      </c>
      <c r="J24" s="472">
        <f t="shared" si="6"/>
        <v>3719.39</v>
      </c>
      <c r="K24" s="472">
        <f t="shared" si="6"/>
        <v>3538.87</v>
      </c>
      <c r="L24" s="472">
        <f t="shared" si="6"/>
        <v>3999.08</v>
      </c>
      <c r="M24" s="472">
        <f t="shared" si="6"/>
        <v>4164.0599999999995</v>
      </c>
      <c r="N24" s="472">
        <f t="shared" si="6"/>
        <v>3704.1899999999996</v>
      </c>
      <c r="O24" s="472">
        <f t="shared" si="6"/>
        <v>3489.2599999999998</v>
      </c>
      <c r="P24" s="472">
        <f t="shared" si="6"/>
        <v>3354.52</v>
      </c>
      <c r="Q24" s="472">
        <f t="shared" si="6"/>
        <v>3610.77</v>
      </c>
      <c r="R24" s="472">
        <f t="shared" si="6"/>
        <v>3870.41</v>
      </c>
      <c r="S24" s="472">
        <f t="shared" si="6"/>
        <v>5230.25</v>
      </c>
      <c r="T24" s="472">
        <f t="shared" si="6"/>
        <v>6409.9500000000007</v>
      </c>
      <c r="U24" s="472">
        <f t="shared" si="6"/>
        <v>4297.46</v>
      </c>
      <c r="V24" s="472">
        <f t="shared" si="6"/>
        <v>5124.2000000000007</v>
      </c>
      <c r="W24" s="472">
        <f t="shared" si="6"/>
        <v>4283.8999999999996</v>
      </c>
      <c r="X24" s="472">
        <f t="shared" si="6"/>
        <v>4804.45</v>
      </c>
      <c r="Y24" s="472">
        <f t="shared" si="6"/>
        <v>5020.3</v>
      </c>
      <c r="Z24" s="472">
        <f t="shared" si="6"/>
        <v>6203.82</v>
      </c>
      <c r="AA24" s="472">
        <f t="shared" si="6"/>
        <v>4824.68</v>
      </c>
      <c r="AB24" s="472">
        <f t="shared" si="6"/>
        <v>5351.1799999999994</v>
      </c>
      <c r="AC24" s="472">
        <f t="shared" si="6"/>
        <v>4875.46</v>
      </c>
      <c r="AD24" s="472">
        <f t="shared" si="6"/>
        <v>5021.93</v>
      </c>
      <c r="AE24" s="472">
        <f t="shared" si="6"/>
        <v>4547.05</v>
      </c>
      <c r="AF24" s="472">
        <f t="shared" si="6"/>
        <v>4445.51</v>
      </c>
      <c r="AG24" s="473">
        <f t="shared" si="6"/>
        <v>0</v>
      </c>
      <c r="AH24" s="458">
        <f t="shared" si="5"/>
        <v>126488.63999999998</v>
      </c>
      <c r="AJ24" s="135" t="s">
        <v>84</v>
      </c>
      <c r="AK24" s="136" t="s">
        <v>33</v>
      </c>
      <c r="AL24" s="292">
        <f>SUM(AH26:AH27)</f>
        <v>-254.88999999999965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7" t="s">
        <v>76</v>
      </c>
      <c r="AK25" s="521"/>
      <c r="AL25" s="522">
        <f>SUM(AL20:AM24)</f>
        <v>123721.79999999999</v>
      </c>
      <c r="AM25" s="523"/>
      <c r="AN25" s="294">
        <f>AL25-(AH24+AH26+AH27-AH29)</f>
        <v>0</v>
      </c>
    </row>
    <row r="26" spans="1:40" ht="15.75" x14ac:dyDescent="0.25">
      <c r="A26" s="415"/>
      <c r="B26" s="414" t="s">
        <v>185</v>
      </c>
      <c r="C26" s="413">
        <f>SUM(C3:C7)-(C18+C20+C22)</f>
        <v>0</v>
      </c>
      <c r="D26" s="413">
        <f t="shared" ref="D26:AG26" si="7">SUM(D3:D7)-(D18+D20+D22)</f>
        <v>0</v>
      </c>
      <c r="E26" s="413">
        <f t="shared" si="7"/>
        <v>0</v>
      </c>
      <c r="F26" s="413">
        <f t="shared" si="7"/>
        <v>-110.04999999999973</v>
      </c>
      <c r="G26" s="413">
        <f t="shared" si="7"/>
        <v>0</v>
      </c>
      <c r="H26" s="413">
        <f t="shared" si="7"/>
        <v>0</v>
      </c>
      <c r="I26" s="413">
        <f t="shared" si="7"/>
        <v>0</v>
      </c>
      <c r="J26" s="413">
        <f t="shared" si="7"/>
        <v>-22</v>
      </c>
      <c r="K26" s="413">
        <f t="shared" si="7"/>
        <v>0</v>
      </c>
      <c r="L26" s="413">
        <f t="shared" si="7"/>
        <v>0</v>
      </c>
      <c r="M26" s="413">
        <f t="shared" si="7"/>
        <v>0</v>
      </c>
      <c r="N26" s="413">
        <f t="shared" si="7"/>
        <v>0</v>
      </c>
      <c r="O26" s="413">
        <f t="shared" si="7"/>
        <v>0</v>
      </c>
      <c r="P26" s="413">
        <f t="shared" si="7"/>
        <v>-83.789999999999964</v>
      </c>
      <c r="Q26" s="413">
        <f t="shared" si="7"/>
        <v>0</v>
      </c>
      <c r="R26" s="413">
        <f t="shared" si="7"/>
        <v>-5.0000000000181899E-2</v>
      </c>
      <c r="S26" s="413">
        <f t="shared" si="7"/>
        <v>0</v>
      </c>
      <c r="T26" s="413">
        <f t="shared" si="7"/>
        <v>0</v>
      </c>
      <c r="U26" s="413">
        <f t="shared" si="7"/>
        <v>0</v>
      </c>
      <c r="V26" s="413">
        <f t="shared" si="7"/>
        <v>0</v>
      </c>
      <c r="W26" s="413">
        <f t="shared" si="7"/>
        <v>0</v>
      </c>
      <c r="X26" s="413">
        <f t="shared" si="7"/>
        <v>0</v>
      </c>
      <c r="Y26" s="413">
        <f t="shared" si="7"/>
        <v>0</v>
      </c>
      <c r="Z26" s="413">
        <f t="shared" si="7"/>
        <v>0</v>
      </c>
      <c r="AA26" s="413">
        <f t="shared" si="7"/>
        <v>0</v>
      </c>
      <c r="AB26" s="413">
        <f t="shared" si="7"/>
        <v>0</v>
      </c>
      <c r="AC26" s="413">
        <f t="shared" si="7"/>
        <v>0</v>
      </c>
      <c r="AD26" s="413">
        <f t="shared" si="7"/>
        <v>0</v>
      </c>
      <c r="AE26" s="413">
        <f t="shared" si="7"/>
        <v>0</v>
      </c>
      <c r="AF26" s="413">
        <f t="shared" si="7"/>
        <v>0</v>
      </c>
      <c r="AG26" s="413">
        <f t="shared" si="7"/>
        <v>0</v>
      </c>
      <c r="AH26" s="110">
        <f>SUM(C26:AG26)</f>
        <v>-215.88999999999987</v>
      </c>
    </row>
    <row r="27" spans="1:40" ht="16.5" thickBot="1" x14ac:dyDescent="0.3">
      <c r="A27" s="412"/>
      <c r="B27" s="183" t="s">
        <v>184</v>
      </c>
      <c r="C27" s="411">
        <f>SUM(C9:C13)-(C19+C21+C23)</f>
        <v>0</v>
      </c>
      <c r="D27" s="411">
        <f t="shared" ref="D27:AG27" si="8">SUM(D9:D13)-(D19+D21+D23)</f>
        <v>0</v>
      </c>
      <c r="E27" s="411">
        <f t="shared" si="8"/>
        <v>0</v>
      </c>
      <c r="F27" s="411">
        <f t="shared" si="8"/>
        <v>0</v>
      </c>
      <c r="G27" s="411">
        <f t="shared" si="8"/>
        <v>0</v>
      </c>
      <c r="H27" s="411">
        <f t="shared" si="8"/>
        <v>-33</v>
      </c>
      <c r="I27" s="411">
        <f t="shared" si="8"/>
        <v>0</v>
      </c>
      <c r="J27" s="411">
        <f t="shared" si="8"/>
        <v>-4.9999999999997726</v>
      </c>
      <c r="K27" s="411">
        <f t="shared" si="8"/>
        <v>0</v>
      </c>
      <c r="L27" s="411">
        <f t="shared" si="8"/>
        <v>0</v>
      </c>
      <c r="M27" s="411">
        <f t="shared" si="8"/>
        <v>0</v>
      </c>
      <c r="N27" s="411">
        <f t="shared" si="8"/>
        <v>0</v>
      </c>
      <c r="O27" s="411">
        <f t="shared" si="8"/>
        <v>0</v>
      </c>
      <c r="P27" s="411">
        <f t="shared" si="8"/>
        <v>0</v>
      </c>
      <c r="Q27" s="411">
        <f t="shared" si="8"/>
        <v>0</v>
      </c>
      <c r="R27" s="411">
        <f t="shared" si="8"/>
        <v>0</v>
      </c>
      <c r="S27" s="411">
        <f t="shared" si="8"/>
        <v>0</v>
      </c>
      <c r="T27" s="411">
        <f t="shared" si="8"/>
        <v>0</v>
      </c>
      <c r="U27" s="411">
        <f t="shared" si="8"/>
        <v>0</v>
      </c>
      <c r="V27" s="411">
        <f t="shared" si="8"/>
        <v>0</v>
      </c>
      <c r="W27" s="411">
        <f t="shared" si="8"/>
        <v>0</v>
      </c>
      <c r="X27" s="411">
        <f t="shared" si="8"/>
        <v>0</v>
      </c>
      <c r="Y27" s="411">
        <f t="shared" si="8"/>
        <v>0</v>
      </c>
      <c r="Z27" s="411">
        <f t="shared" si="8"/>
        <v>0</v>
      </c>
      <c r="AA27" s="411">
        <f t="shared" si="8"/>
        <v>0</v>
      </c>
      <c r="AB27" s="411">
        <f t="shared" si="8"/>
        <v>0</v>
      </c>
      <c r="AC27" s="411">
        <f t="shared" si="8"/>
        <v>-1</v>
      </c>
      <c r="AD27" s="411">
        <f t="shared" si="8"/>
        <v>0</v>
      </c>
      <c r="AE27" s="411">
        <f t="shared" si="8"/>
        <v>0</v>
      </c>
      <c r="AF27" s="411">
        <f t="shared" si="8"/>
        <v>0</v>
      </c>
      <c r="AG27" s="411">
        <f t="shared" si="8"/>
        <v>0</v>
      </c>
      <c r="AH27" s="112">
        <f>SUM(C27:AG27)</f>
        <v>-38.999999999999773</v>
      </c>
    </row>
    <row r="28" spans="1:40" ht="16.5" thickBot="1" x14ac:dyDescent="0.3">
      <c r="A28" s="444"/>
      <c r="B28" s="444"/>
      <c r="C28" s="445"/>
      <c r="D28" s="445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5"/>
      <c r="P28" s="445"/>
      <c r="Q28" s="445"/>
      <c r="R28" s="445"/>
      <c r="S28" s="445"/>
      <c r="T28" s="445"/>
      <c r="U28" s="445"/>
      <c r="V28" s="445"/>
      <c r="W28" s="445"/>
      <c r="X28" s="445"/>
      <c r="Y28" s="445"/>
      <c r="Z28" s="445"/>
      <c r="AA28" s="445"/>
      <c r="AB28" s="445"/>
      <c r="AC28" s="445"/>
      <c r="AD28" s="445"/>
      <c r="AE28" s="445"/>
      <c r="AF28" s="445"/>
      <c r="AG28" s="445"/>
      <c r="AH28" s="446"/>
    </row>
    <row r="29" spans="1:40" ht="16.5" thickBot="1" x14ac:dyDescent="0.3">
      <c r="A29" s="447" t="s">
        <v>203</v>
      </c>
      <c r="B29" s="448" t="s">
        <v>195</v>
      </c>
      <c r="C29" s="484">
        <v>55.87</v>
      </c>
      <c r="D29" s="484">
        <v>49.43</v>
      </c>
      <c r="E29" s="484">
        <v>76.06</v>
      </c>
      <c r="F29" s="484">
        <v>58.88</v>
      </c>
      <c r="G29" s="484">
        <v>60.25</v>
      </c>
      <c r="H29" s="484">
        <v>74.650000000000006</v>
      </c>
      <c r="I29" s="484">
        <v>57.3</v>
      </c>
      <c r="J29" s="484">
        <v>70.16</v>
      </c>
      <c r="K29" s="484">
        <v>76.75</v>
      </c>
      <c r="L29" s="484">
        <v>69</v>
      </c>
      <c r="M29" s="484">
        <v>89.3</v>
      </c>
      <c r="N29" s="484">
        <v>83.21</v>
      </c>
      <c r="O29" s="484">
        <v>65.959999999999994</v>
      </c>
      <c r="P29" s="484">
        <v>63.72</v>
      </c>
      <c r="Q29" s="484">
        <v>73.64</v>
      </c>
      <c r="R29" s="484">
        <v>78.790000000000006</v>
      </c>
      <c r="S29" s="484">
        <v>105.61</v>
      </c>
      <c r="T29" s="484">
        <v>142.29</v>
      </c>
      <c r="U29" s="484">
        <v>80.14</v>
      </c>
      <c r="V29" s="484">
        <v>102.1</v>
      </c>
      <c r="W29" s="484">
        <v>80.7</v>
      </c>
      <c r="X29" s="484">
        <v>93.59</v>
      </c>
      <c r="Y29" s="484">
        <v>91.64</v>
      </c>
      <c r="Z29" s="484">
        <v>132.44999999999999</v>
      </c>
      <c r="AA29" s="484">
        <v>100.12</v>
      </c>
      <c r="AB29" s="498">
        <v>111.9</v>
      </c>
      <c r="AC29" s="498">
        <v>88.06</v>
      </c>
      <c r="AD29" s="498">
        <v>96.52</v>
      </c>
      <c r="AE29" s="498">
        <v>90.48</v>
      </c>
      <c r="AF29" s="498">
        <v>93.38</v>
      </c>
      <c r="AG29" s="493"/>
      <c r="AH29" s="449">
        <f>SUM(C29:AG29)</f>
        <v>2511.9500000000003</v>
      </c>
      <c r="AJ29" s="211" t="s">
        <v>203</v>
      </c>
      <c r="AK29" s="212" t="s">
        <v>197</v>
      </c>
      <c r="AL29" s="271">
        <f>SUM(C29:AA29)</f>
        <v>2031.6100000000001</v>
      </c>
      <c r="AM29" s="272">
        <f>SUM(AB29:AG29)</f>
        <v>480.34000000000003</v>
      </c>
    </row>
    <row r="30" spans="1:40" ht="16.5" thickBot="1" x14ac:dyDescent="0.3">
      <c r="B30" s="60"/>
      <c r="C30" s="485">
        <f>C20+C21-C29</f>
        <v>1807.0300000000002</v>
      </c>
      <c r="D30" s="485">
        <f t="shared" ref="D30:AG30" si="9">D20+D21-D29</f>
        <v>1598.8899999999999</v>
      </c>
      <c r="E30" s="485">
        <f t="shared" si="9"/>
        <v>2460.85</v>
      </c>
      <c r="F30" s="485">
        <f t="shared" si="9"/>
        <v>1903.79</v>
      </c>
      <c r="G30" s="485">
        <f t="shared" si="9"/>
        <v>1948.62</v>
      </c>
      <c r="H30" s="485">
        <f t="shared" si="9"/>
        <v>2413.31</v>
      </c>
      <c r="I30" s="485">
        <f t="shared" si="9"/>
        <v>1853.1200000000001</v>
      </c>
      <c r="J30" s="485">
        <f t="shared" si="9"/>
        <v>2268.4700000000003</v>
      </c>
      <c r="K30" s="485">
        <f t="shared" si="9"/>
        <v>2481.19</v>
      </c>
      <c r="L30" s="485">
        <f t="shared" si="9"/>
        <v>2230.4899999999998</v>
      </c>
      <c r="M30" s="485">
        <f t="shared" si="9"/>
        <v>2887.83</v>
      </c>
      <c r="N30" s="485">
        <f t="shared" si="9"/>
        <v>2691.61</v>
      </c>
      <c r="O30" s="485">
        <f t="shared" si="9"/>
        <v>2133.52</v>
      </c>
      <c r="P30" s="485">
        <f t="shared" si="9"/>
        <v>2060.3000000000002</v>
      </c>
      <c r="Q30" s="485">
        <f t="shared" si="9"/>
        <v>2381.38</v>
      </c>
      <c r="R30" s="485">
        <f t="shared" si="9"/>
        <v>2548.11</v>
      </c>
      <c r="S30" s="485">
        <f t="shared" si="9"/>
        <v>3414.6299999999997</v>
      </c>
      <c r="T30" s="485">
        <f t="shared" si="9"/>
        <v>4601.6500000000005</v>
      </c>
      <c r="U30" s="485">
        <f t="shared" si="9"/>
        <v>2592.09</v>
      </c>
      <c r="V30" s="485">
        <f t="shared" si="9"/>
        <v>3301.7000000000003</v>
      </c>
      <c r="W30" s="485">
        <f t="shared" si="9"/>
        <v>2609.2600000000002</v>
      </c>
      <c r="X30" s="485">
        <f t="shared" si="9"/>
        <v>3027</v>
      </c>
      <c r="Y30" s="485">
        <f t="shared" si="9"/>
        <v>2964.43</v>
      </c>
      <c r="Z30" s="485">
        <f t="shared" si="9"/>
        <v>4283.4100000000008</v>
      </c>
      <c r="AA30" s="485">
        <f t="shared" si="9"/>
        <v>3237.2200000000003</v>
      </c>
      <c r="AB30" s="485">
        <f t="shared" si="9"/>
        <v>3619.1699999999996</v>
      </c>
      <c r="AC30" s="485">
        <f t="shared" si="9"/>
        <v>2847.42</v>
      </c>
      <c r="AD30" s="485">
        <f t="shared" si="9"/>
        <v>3120.78</v>
      </c>
      <c r="AE30" s="485">
        <f t="shared" si="9"/>
        <v>2925.32</v>
      </c>
      <c r="AF30" s="485">
        <f t="shared" si="9"/>
        <v>3021.2</v>
      </c>
      <c r="AG30" s="485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6" t="s">
        <v>57</v>
      </c>
      <c r="AK31" s="517"/>
    </row>
    <row r="32" spans="1:40" x14ac:dyDescent="0.25">
      <c r="A32" s="168"/>
      <c r="B32" s="139" t="s">
        <v>75</v>
      </c>
      <c r="C32" s="144">
        <v>122</v>
      </c>
      <c r="D32" s="144">
        <v>135</v>
      </c>
      <c r="E32" s="144">
        <v>228</v>
      </c>
      <c r="F32" s="144">
        <v>182</v>
      </c>
      <c r="G32" s="144">
        <v>162</v>
      </c>
      <c r="H32" s="144">
        <v>195</v>
      </c>
      <c r="I32" s="144">
        <v>190</v>
      </c>
      <c r="J32" s="144">
        <v>148</v>
      </c>
      <c r="K32" s="144">
        <v>188</v>
      </c>
      <c r="L32" s="144">
        <v>198</v>
      </c>
      <c r="M32" s="144">
        <v>223</v>
      </c>
      <c r="N32" s="144">
        <v>171</v>
      </c>
      <c r="O32" s="144">
        <v>180</v>
      </c>
      <c r="P32" s="144">
        <v>189</v>
      </c>
      <c r="Q32" s="144">
        <v>152</v>
      </c>
      <c r="R32" s="144">
        <v>216</v>
      </c>
      <c r="S32" s="144">
        <v>227</v>
      </c>
      <c r="T32" s="144">
        <v>302</v>
      </c>
      <c r="U32" s="144">
        <v>216</v>
      </c>
      <c r="V32" s="144">
        <v>275</v>
      </c>
      <c r="W32" s="144">
        <v>188</v>
      </c>
      <c r="X32" s="144">
        <v>237</v>
      </c>
      <c r="Y32" s="144">
        <v>215</v>
      </c>
      <c r="Z32" s="144">
        <v>297</v>
      </c>
      <c r="AA32" s="144">
        <v>250</v>
      </c>
      <c r="AB32" s="144">
        <v>258</v>
      </c>
      <c r="AC32" s="144">
        <v>230</v>
      </c>
      <c r="AD32" s="144">
        <v>244</v>
      </c>
      <c r="AE32" s="144">
        <v>205</v>
      </c>
      <c r="AF32" s="144">
        <v>243</v>
      </c>
      <c r="AG32" s="144">
        <f>'[1]TEMP Summary'!$T$22</f>
        <v>0</v>
      </c>
      <c r="AH32" s="410">
        <f t="shared" ref="AH32:AH44" si="10">SUM(C32:AG32)</f>
        <v>6266</v>
      </c>
      <c r="AJ32" s="257">
        <f>AH32+AH39</f>
        <v>10835</v>
      </c>
      <c r="AK32" s="258" t="s">
        <v>75</v>
      </c>
    </row>
    <row r="33" spans="1:37" x14ac:dyDescent="0.25">
      <c r="A33" s="168"/>
      <c r="B33" s="143" t="s">
        <v>74</v>
      </c>
      <c r="C33" s="144">
        <v>24</v>
      </c>
      <c r="D33" s="144">
        <v>46</v>
      </c>
      <c r="E33" s="144">
        <v>68</v>
      </c>
      <c r="F33" s="144">
        <v>76</v>
      </c>
      <c r="G33" s="144">
        <v>62</v>
      </c>
      <c r="H33" s="144">
        <v>77</v>
      </c>
      <c r="I33" s="144">
        <v>61</v>
      </c>
      <c r="J33" s="144">
        <v>79</v>
      </c>
      <c r="K33" s="144">
        <v>63</v>
      </c>
      <c r="L33" s="144">
        <v>83</v>
      </c>
      <c r="M33" s="144">
        <v>82</v>
      </c>
      <c r="N33" s="144">
        <v>56</v>
      </c>
      <c r="O33" s="144">
        <v>58</v>
      </c>
      <c r="P33" s="144">
        <v>62</v>
      </c>
      <c r="Q33" s="144">
        <v>71</v>
      </c>
      <c r="R33" s="144">
        <v>72</v>
      </c>
      <c r="S33" s="144">
        <v>67</v>
      </c>
      <c r="T33" s="144">
        <v>91</v>
      </c>
      <c r="U33" s="144">
        <v>71</v>
      </c>
      <c r="V33" s="144">
        <v>98</v>
      </c>
      <c r="W33" s="144">
        <v>50</v>
      </c>
      <c r="X33" s="144">
        <v>96</v>
      </c>
      <c r="Y33" s="144">
        <v>83</v>
      </c>
      <c r="Z33" s="144">
        <v>91</v>
      </c>
      <c r="AA33" s="144">
        <v>75</v>
      </c>
      <c r="AB33" s="144">
        <v>89</v>
      </c>
      <c r="AC33" s="144">
        <v>90</v>
      </c>
      <c r="AD33" s="144">
        <v>105</v>
      </c>
      <c r="AE33" s="144">
        <v>109</v>
      </c>
      <c r="AF33" s="144">
        <v>83</v>
      </c>
      <c r="AG33" s="144">
        <f>'[1]TEMP Summary'!$T$22</f>
        <v>0</v>
      </c>
      <c r="AH33" s="409">
        <f t="shared" si="10"/>
        <v>2238</v>
      </c>
      <c r="AJ33" s="257">
        <f t="shared" ref="AJ33:AJ37" si="11">AH33+AH40</f>
        <v>3817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v>5</v>
      </c>
      <c r="F34" s="144">
        <v>5</v>
      </c>
      <c r="G34" s="144">
        <v>7</v>
      </c>
      <c r="H34" s="144">
        <v>2</v>
      </c>
      <c r="I34" s="144">
        <v>1</v>
      </c>
      <c r="J34" s="144">
        <f>'[1]TEMP Summary'!$T$22</f>
        <v>0</v>
      </c>
      <c r="K34" s="144">
        <f>'[1]TEMP Summary'!$T$22</f>
        <v>0</v>
      </c>
      <c r="L34" s="144">
        <v>4</v>
      </c>
      <c r="M34" s="144">
        <v>13</v>
      </c>
      <c r="N34" s="144">
        <v>8</v>
      </c>
      <c r="O34" s="144">
        <f>'[1]TEMP Summary'!$T$22</f>
        <v>0</v>
      </c>
      <c r="P34" s="144">
        <f>'[1]TEMP Summary'!$T$22</f>
        <v>0</v>
      </c>
      <c r="Q34" s="144">
        <v>2</v>
      </c>
      <c r="R34" s="144">
        <v>2</v>
      </c>
      <c r="S34" s="144">
        <v>6</v>
      </c>
      <c r="T34" s="144">
        <v>14</v>
      </c>
      <c r="U34" s="144">
        <v>11</v>
      </c>
      <c r="V34" s="144">
        <v>3</v>
      </c>
      <c r="W34" s="144">
        <f>'[1]TEMP Summary'!$T$22</f>
        <v>0</v>
      </c>
      <c r="X34" s="144">
        <v>1</v>
      </c>
      <c r="Y34" s="144">
        <f>'[1]TEMP Summary'!$T$22</f>
        <v>0</v>
      </c>
      <c r="Z34" s="144">
        <v>10</v>
      </c>
      <c r="AA34" s="144">
        <v>4</v>
      </c>
      <c r="AB34" s="144">
        <v>12</v>
      </c>
      <c r="AC34" s="144">
        <v>10</v>
      </c>
      <c r="AD34" s="144">
        <v>1</v>
      </c>
      <c r="AE34" s="144">
        <v>1</v>
      </c>
      <c r="AF34" s="144">
        <v>1</v>
      </c>
      <c r="AG34" s="144">
        <f>'[1]TEMP Summary'!$T$22</f>
        <v>0</v>
      </c>
      <c r="AH34" s="409">
        <f t="shared" si="10"/>
        <v>123</v>
      </c>
      <c r="AJ34" s="257">
        <f t="shared" si="11"/>
        <v>263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/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v>36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v>24</v>
      </c>
      <c r="AG35" s="144">
        <f>'[1]TEMP Summary'!$T$22</f>
        <v>0</v>
      </c>
      <c r="AH35" s="409">
        <f t="shared" si="10"/>
        <v>60</v>
      </c>
      <c r="AJ35" s="257">
        <f t="shared" si="11"/>
        <v>143</v>
      </c>
      <c r="AK35" s="258" t="s">
        <v>72</v>
      </c>
    </row>
    <row r="36" spans="1:37" x14ac:dyDescent="0.25">
      <c r="A36" s="168"/>
      <c r="B36" s="143" t="s">
        <v>73</v>
      </c>
      <c r="C36" s="144">
        <v>48</v>
      </c>
      <c r="D36" s="144">
        <v>23</v>
      </c>
      <c r="E36" s="144">
        <v>68</v>
      </c>
      <c r="F36" s="144">
        <v>30</v>
      </c>
      <c r="G36" s="144">
        <v>27</v>
      </c>
      <c r="H36" s="144">
        <v>50</v>
      </c>
      <c r="I36" s="144">
        <v>55</v>
      </c>
      <c r="J36" s="144">
        <v>76</v>
      </c>
      <c r="K36" s="144">
        <v>59</v>
      </c>
      <c r="L36" s="144">
        <v>58</v>
      </c>
      <c r="M36" s="144">
        <v>48</v>
      </c>
      <c r="N36" s="144">
        <v>62</v>
      </c>
      <c r="O36" s="144">
        <v>48</v>
      </c>
      <c r="P36" s="144">
        <v>38</v>
      </c>
      <c r="Q36" s="144">
        <v>58</v>
      </c>
      <c r="R36" s="144">
        <v>53</v>
      </c>
      <c r="S36" s="144">
        <v>53</v>
      </c>
      <c r="T36" s="144">
        <v>54</v>
      </c>
      <c r="U36" s="144">
        <v>59</v>
      </c>
      <c r="V36" s="144">
        <v>77</v>
      </c>
      <c r="W36" s="144">
        <v>68</v>
      </c>
      <c r="X36" s="144">
        <v>65</v>
      </c>
      <c r="Y36" s="144">
        <v>67</v>
      </c>
      <c r="Z36" s="144">
        <v>50</v>
      </c>
      <c r="AA36" s="144">
        <v>56</v>
      </c>
      <c r="AB36" s="144">
        <v>47</v>
      </c>
      <c r="AC36" s="144">
        <v>70</v>
      </c>
      <c r="AD36" s="144">
        <v>57</v>
      </c>
      <c r="AE36" s="144">
        <v>46</v>
      </c>
      <c r="AF36" s="144">
        <v>52</v>
      </c>
      <c r="AG36" s="144">
        <f>'[1]TEMP Summary'!$T$22</f>
        <v>0</v>
      </c>
      <c r="AH36" s="409">
        <f t="shared" si="10"/>
        <v>1622</v>
      </c>
      <c r="AJ36" s="257">
        <f t="shared" si="11"/>
        <v>2597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v>3</v>
      </c>
      <c r="E37" s="144">
        <v>4</v>
      </c>
      <c r="F37" s="144">
        <v>11</v>
      </c>
      <c r="G37" s="144">
        <v>5</v>
      </c>
      <c r="H37" s="144">
        <v>10</v>
      </c>
      <c r="I37" s="144">
        <v>5</v>
      </c>
      <c r="J37" s="144">
        <v>11</v>
      </c>
      <c r="K37" s="144">
        <v>6</v>
      </c>
      <c r="L37" s="144">
        <v>8</v>
      </c>
      <c r="M37" s="144">
        <v>9</v>
      </c>
      <c r="N37" s="144">
        <v>22</v>
      </c>
      <c r="O37" s="144">
        <v>4</v>
      </c>
      <c r="P37" s="144">
        <v>2</v>
      </c>
      <c r="Q37" s="144">
        <v>11</v>
      </c>
      <c r="R37" s="144">
        <v>8</v>
      </c>
      <c r="S37" s="144">
        <v>11</v>
      </c>
      <c r="T37" s="144">
        <v>29</v>
      </c>
      <c r="U37" s="144">
        <v>26</v>
      </c>
      <c r="V37" s="144">
        <v>15</v>
      </c>
      <c r="W37" s="144">
        <v>8</v>
      </c>
      <c r="X37" s="144">
        <v>16</v>
      </c>
      <c r="Y37" s="144">
        <v>5</v>
      </c>
      <c r="Z37" s="144">
        <v>5</v>
      </c>
      <c r="AA37" s="144">
        <v>25</v>
      </c>
      <c r="AB37" s="144">
        <v>27</v>
      </c>
      <c r="AC37" s="144">
        <v>11</v>
      </c>
      <c r="AD37" s="144">
        <v>17</v>
      </c>
      <c r="AE37" s="144">
        <v>14</v>
      </c>
      <c r="AF37" s="144">
        <v>15</v>
      </c>
      <c r="AG37" s="144">
        <f>'[1]TEMP Summary'!$T$22</f>
        <v>0</v>
      </c>
      <c r="AH37" s="409">
        <f t="shared" si="10"/>
        <v>343</v>
      </c>
      <c r="AJ37" s="257">
        <f t="shared" si="11"/>
        <v>499</v>
      </c>
      <c r="AK37" s="258" t="s">
        <v>71</v>
      </c>
    </row>
    <row r="38" spans="1:37" ht="15.75" thickBot="1" x14ac:dyDescent="0.3">
      <c r="A38" s="168"/>
      <c r="B38" s="439" t="s">
        <v>183</v>
      </c>
      <c r="C38" s="440">
        <f t="shared" ref="C38:AG38" si="12">SUM(C32:C37)</f>
        <v>194</v>
      </c>
      <c r="D38" s="441">
        <f t="shared" si="12"/>
        <v>207</v>
      </c>
      <c r="E38" s="441">
        <f t="shared" si="12"/>
        <v>373</v>
      </c>
      <c r="F38" s="441">
        <f t="shared" si="12"/>
        <v>304</v>
      </c>
      <c r="G38" s="441">
        <f t="shared" si="12"/>
        <v>263</v>
      </c>
      <c r="H38" s="441">
        <f t="shared" si="12"/>
        <v>334</v>
      </c>
      <c r="I38" s="441">
        <f t="shared" si="12"/>
        <v>312</v>
      </c>
      <c r="J38" s="441">
        <f t="shared" si="12"/>
        <v>314</v>
      </c>
      <c r="K38" s="441">
        <f t="shared" si="12"/>
        <v>316</v>
      </c>
      <c r="L38" s="441">
        <f t="shared" si="12"/>
        <v>351</v>
      </c>
      <c r="M38" s="441">
        <f t="shared" si="12"/>
        <v>375</v>
      </c>
      <c r="N38" s="441">
        <f t="shared" si="12"/>
        <v>319</v>
      </c>
      <c r="O38" s="441">
        <f t="shared" si="12"/>
        <v>290</v>
      </c>
      <c r="P38" s="441">
        <f t="shared" si="12"/>
        <v>291</v>
      </c>
      <c r="Q38" s="441">
        <f t="shared" si="12"/>
        <v>294</v>
      </c>
      <c r="R38" s="441">
        <f t="shared" si="12"/>
        <v>351</v>
      </c>
      <c r="S38" s="441">
        <f t="shared" si="12"/>
        <v>364</v>
      </c>
      <c r="T38" s="441">
        <f t="shared" si="12"/>
        <v>490</v>
      </c>
      <c r="U38" s="441">
        <f t="shared" si="12"/>
        <v>383</v>
      </c>
      <c r="V38" s="441">
        <f t="shared" si="12"/>
        <v>468</v>
      </c>
      <c r="W38" s="441">
        <f t="shared" si="12"/>
        <v>314</v>
      </c>
      <c r="X38" s="441">
        <f t="shared" si="12"/>
        <v>415</v>
      </c>
      <c r="Y38" s="441">
        <f t="shared" si="12"/>
        <v>370</v>
      </c>
      <c r="Z38" s="441">
        <f t="shared" si="12"/>
        <v>453</v>
      </c>
      <c r="AA38" s="441">
        <f t="shared" si="12"/>
        <v>410</v>
      </c>
      <c r="AB38" s="441">
        <f t="shared" si="12"/>
        <v>469</v>
      </c>
      <c r="AC38" s="441">
        <f t="shared" si="12"/>
        <v>411</v>
      </c>
      <c r="AD38" s="441">
        <f t="shared" si="12"/>
        <v>424</v>
      </c>
      <c r="AE38" s="441">
        <f t="shared" si="12"/>
        <v>375</v>
      </c>
      <c r="AF38" s="441">
        <f t="shared" si="12"/>
        <v>418</v>
      </c>
      <c r="AG38" s="442">
        <f t="shared" si="12"/>
        <v>0</v>
      </c>
      <c r="AH38" s="408">
        <f>SUM(C38:AG38)</f>
        <v>10652</v>
      </c>
      <c r="AJ38" s="257"/>
      <c r="AK38" s="258"/>
    </row>
    <row r="39" spans="1:37" x14ac:dyDescent="0.25">
      <c r="A39" s="168"/>
      <c r="B39" s="407" t="s">
        <v>75</v>
      </c>
      <c r="C39" s="140">
        <f>207-C32</f>
        <v>85</v>
      </c>
      <c r="D39" s="140">
        <f>214-D32</f>
        <v>79</v>
      </c>
      <c r="E39" s="140">
        <f>365-E32</f>
        <v>137</v>
      </c>
      <c r="F39" s="140">
        <f>304-F32</f>
        <v>122</v>
      </c>
      <c r="G39" s="140">
        <f>245-G32</f>
        <v>83</v>
      </c>
      <c r="H39" s="140">
        <f>303-H32</f>
        <v>108</v>
      </c>
      <c r="I39" s="140">
        <f>281-I32</f>
        <v>91</v>
      </c>
      <c r="J39" s="140">
        <f>269-J32</f>
        <v>121</v>
      </c>
      <c r="K39" s="140">
        <f>297-K32</f>
        <v>109</v>
      </c>
      <c r="L39" s="140">
        <f>367-L32</f>
        <v>169</v>
      </c>
      <c r="M39" s="140">
        <f>384-M32</f>
        <v>161</v>
      </c>
      <c r="N39" s="140">
        <f>316-N32</f>
        <v>145</v>
      </c>
      <c r="O39" s="140">
        <f>306-O32</f>
        <v>126</v>
      </c>
      <c r="P39" s="140">
        <f>276-P32</f>
        <v>87</v>
      </c>
      <c r="Q39" s="140">
        <f>286-Q32</f>
        <v>134</v>
      </c>
      <c r="R39" s="140">
        <f>337-R32</f>
        <v>121</v>
      </c>
      <c r="S39" s="140">
        <f>495-S32-1</f>
        <v>267</v>
      </c>
      <c r="T39" s="140">
        <f>558-T32</f>
        <v>256</v>
      </c>
      <c r="U39" s="140">
        <f>376-U32</f>
        <v>160</v>
      </c>
      <c r="V39" s="140">
        <f>433-V32</f>
        <v>158</v>
      </c>
      <c r="W39" s="140">
        <f>372-W32</f>
        <v>184</v>
      </c>
      <c r="X39" s="140">
        <f>382-X32</f>
        <v>145</v>
      </c>
      <c r="Y39" s="140">
        <f>401-Y32</f>
        <v>186</v>
      </c>
      <c r="Z39" s="140">
        <f>573-Z32</f>
        <v>276</v>
      </c>
      <c r="AA39" s="140">
        <f>448-AA32</f>
        <v>198</v>
      </c>
      <c r="AB39" s="140">
        <f>448-AB32-1</f>
        <v>189</v>
      </c>
      <c r="AC39" s="140">
        <f>401-AC32-1</f>
        <v>170</v>
      </c>
      <c r="AD39" s="140">
        <f>423-AD32</f>
        <v>179</v>
      </c>
      <c r="AE39" s="140">
        <f>378-AE32</f>
        <v>173</v>
      </c>
      <c r="AF39" s="140">
        <f>393-AF32</f>
        <v>150</v>
      </c>
      <c r="AG39" s="141">
        <f>'[1]TEMP Summary'!$T$22</f>
        <v>0</v>
      </c>
      <c r="AH39" s="142">
        <f t="shared" si="10"/>
        <v>4569</v>
      </c>
      <c r="AJ39" s="257"/>
      <c r="AK39" s="258"/>
    </row>
    <row r="40" spans="1:37" x14ac:dyDescent="0.25">
      <c r="A40" s="168"/>
      <c r="B40" s="143" t="s">
        <v>74</v>
      </c>
      <c r="C40" s="144">
        <f>63-C33</f>
        <v>39</v>
      </c>
      <c r="D40" s="144">
        <f>75-D33</f>
        <v>29</v>
      </c>
      <c r="E40" s="144">
        <f>106-E33</f>
        <v>38</v>
      </c>
      <c r="F40" s="144">
        <f>113-F33</f>
        <v>37</v>
      </c>
      <c r="G40" s="144">
        <f>95-G33</f>
        <v>33</v>
      </c>
      <c r="H40" s="144">
        <f>144-H33</f>
        <v>67</v>
      </c>
      <c r="I40" s="144">
        <f>100-I33</f>
        <v>39</v>
      </c>
      <c r="J40" s="144">
        <f>133-J33</f>
        <v>54</v>
      </c>
      <c r="K40" s="144">
        <f>114-K33</f>
        <v>51</v>
      </c>
      <c r="L40" s="144">
        <f>125-L33</f>
        <v>42</v>
      </c>
      <c r="M40" s="144">
        <f>137-M33</f>
        <v>55</v>
      </c>
      <c r="N40" s="144">
        <f>100-N33</f>
        <v>44</v>
      </c>
      <c r="O40" s="144">
        <f>96-O33</f>
        <v>38</v>
      </c>
      <c r="P40" s="144">
        <f>86-P33</f>
        <v>24</v>
      </c>
      <c r="Q40" s="144">
        <f>131-Q33</f>
        <v>60</v>
      </c>
      <c r="R40" s="144">
        <f>94-R33</f>
        <v>22</v>
      </c>
      <c r="S40" s="144">
        <f>132-S33</f>
        <v>65</v>
      </c>
      <c r="T40" s="144">
        <f>194-T33</f>
        <v>103</v>
      </c>
      <c r="U40" s="144">
        <f>130-U33</f>
        <v>59</v>
      </c>
      <c r="V40" s="144">
        <f>155-V33</f>
        <v>57</v>
      </c>
      <c r="W40" s="144">
        <f>97-W33</f>
        <v>47</v>
      </c>
      <c r="X40" s="144">
        <f>158-X33</f>
        <v>62</v>
      </c>
      <c r="Y40" s="144">
        <f>152-Y33</f>
        <v>69</v>
      </c>
      <c r="Z40" s="144">
        <f>176-Z33</f>
        <v>85</v>
      </c>
      <c r="AA40" s="144">
        <f>117-AA33</f>
        <v>42</v>
      </c>
      <c r="AB40" s="144">
        <f>156-AB33</f>
        <v>67</v>
      </c>
      <c r="AC40" s="144">
        <f>170-AC33</f>
        <v>80</v>
      </c>
      <c r="AD40" s="144">
        <f>165-AD33</f>
        <v>60</v>
      </c>
      <c r="AE40" s="144">
        <f>176-AE33</f>
        <v>67</v>
      </c>
      <c r="AF40" s="144">
        <f>127-AF33</f>
        <v>44</v>
      </c>
      <c r="AG40" s="145">
        <f>'[1]TEMP Summary'!$T$22</f>
        <v>0</v>
      </c>
      <c r="AH40" s="142">
        <f t="shared" si="10"/>
        <v>1579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v>1</v>
      </c>
      <c r="E41" s="144">
        <f>8-E34</f>
        <v>3</v>
      </c>
      <c r="F41" s="144">
        <f>15-F34</f>
        <v>10</v>
      </c>
      <c r="G41" s="144">
        <f>10-G34</f>
        <v>3</v>
      </c>
      <c r="H41" s="144">
        <f>5-H34</f>
        <v>3</v>
      </c>
      <c r="I41" s="144">
        <f>'[1]TEMP Summary'!$T$22</f>
        <v>0</v>
      </c>
      <c r="J41" s="144">
        <v>1</v>
      </c>
      <c r="K41" s="144">
        <f>3-K34</f>
        <v>3</v>
      </c>
      <c r="L41" s="144">
        <f>11-L34</f>
        <v>7</v>
      </c>
      <c r="M41" s="144">
        <f>22-M34</f>
        <v>9</v>
      </c>
      <c r="N41" s="144">
        <f>10-N34</f>
        <v>2</v>
      </c>
      <c r="O41" s="144">
        <v>3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25-S34</f>
        <v>19</v>
      </c>
      <c r="T41" s="144">
        <f>24-T34</f>
        <v>10</v>
      </c>
      <c r="U41" s="144">
        <f>15-U34</f>
        <v>4</v>
      </c>
      <c r="V41" s="144">
        <f>5-V34</f>
        <v>2</v>
      </c>
      <c r="W41" s="144">
        <v>7</v>
      </c>
      <c r="X41" s="144">
        <f>4-X34</f>
        <v>3</v>
      </c>
      <c r="Y41" s="144">
        <f>4-Y34</f>
        <v>4</v>
      </c>
      <c r="Z41" s="144">
        <f>16-Z34</f>
        <v>6</v>
      </c>
      <c r="AA41" s="144">
        <f>9-AA34</f>
        <v>5</v>
      </c>
      <c r="AB41" s="144">
        <f>23-AB34</f>
        <v>11</v>
      </c>
      <c r="AC41" s="144">
        <f>19-AC34</f>
        <v>9</v>
      </c>
      <c r="AD41" s="144">
        <f>11-AD34</f>
        <v>10</v>
      </c>
      <c r="AE41" s="144">
        <f>6-AE34</f>
        <v>5</v>
      </c>
      <c r="AF41" s="144">
        <v>0</v>
      </c>
      <c r="AG41" s="145">
        <f>'[1]TEMP Summary'!$T$22</f>
        <v>0</v>
      </c>
      <c r="AH41" s="142">
        <f t="shared" si="10"/>
        <v>140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v>0</v>
      </c>
      <c r="F42" s="144">
        <f>'[1]TEMP Summary'!$T$22</f>
        <v>0</v>
      </c>
      <c r="G42" s="144">
        <f>'[1]TEMP Summary'!$T$22</f>
        <v>0</v>
      </c>
      <c r="H42" s="144">
        <v>25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v>25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69-AB35</f>
        <v>33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83</v>
      </c>
      <c r="AJ42" s="257"/>
      <c r="AK42" s="258"/>
    </row>
    <row r="43" spans="1:37" x14ac:dyDescent="0.25">
      <c r="A43" s="168"/>
      <c r="B43" s="143" t="s">
        <v>73</v>
      </c>
      <c r="C43" s="144">
        <f>66-C36</f>
        <v>18</v>
      </c>
      <c r="D43" s="144">
        <f>28-D36</f>
        <v>5</v>
      </c>
      <c r="E43" s="144">
        <f>96-E36</f>
        <v>28</v>
      </c>
      <c r="F43" s="144">
        <f>56-F36</f>
        <v>26</v>
      </c>
      <c r="G43" s="144">
        <f>48-G36</f>
        <v>21</v>
      </c>
      <c r="H43" s="144">
        <f>84-H36</f>
        <v>34</v>
      </c>
      <c r="I43" s="144">
        <f>65-I36</f>
        <v>10</v>
      </c>
      <c r="J43" s="144">
        <f>105-J36</f>
        <v>29</v>
      </c>
      <c r="K43" s="144">
        <f>86-K36</f>
        <v>27</v>
      </c>
      <c r="L43" s="144">
        <f>79-L36</f>
        <v>21</v>
      </c>
      <c r="M43" s="144">
        <f>89-M36</f>
        <v>41</v>
      </c>
      <c r="N43" s="144">
        <f>91-N36</f>
        <v>29</v>
      </c>
      <c r="O43" s="144">
        <f>77-O36</f>
        <v>29</v>
      </c>
      <c r="P43" s="144">
        <f>74-P36</f>
        <v>36</v>
      </c>
      <c r="Q43" s="144">
        <f>96-Q36</f>
        <v>38</v>
      </c>
      <c r="R43" s="144">
        <f>78-R36</f>
        <v>25</v>
      </c>
      <c r="S43" s="144">
        <f>102-S36</f>
        <v>49</v>
      </c>
      <c r="T43" s="144">
        <f>116-T36</f>
        <v>62</v>
      </c>
      <c r="U43" s="144">
        <f>107-U36</f>
        <v>48</v>
      </c>
      <c r="V43" s="144">
        <f>123-V36</f>
        <v>46</v>
      </c>
      <c r="W43" s="144">
        <f>121-W36</f>
        <v>53</v>
      </c>
      <c r="X43" s="144">
        <f>98-X36</f>
        <v>33</v>
      </c>
      <c r="Y43" s="144">
        <f>96-Y36</f>
        <v>29</v>
      </c>
      <c r="Z43" s="144">
        <f>88-Z36</f>
        <v>38</v>
      </c>
      <c r="AA43" s="144">
        <f>71-AA36</f>
        <v>15</v>
      </c>
      <c r="AB43" s="144">
        <f>88-AB36</f>
        <v>41</v>
      </c>
      <c r="AC43" s="144">
        <f>114-AC36</f>
        <v>44</v>
      </c>
      <c r="AD43" s="144">
        <f>105-AD36</f>
        <v>48</v>
      </c>
      <c r="AE43" s="144">
        <f>74-AE36</f>
        <v>28</v>
      </c>
      <c r="AF43" s="144">
        <f>76-AF36</f>
        <v>24</v>
      </c>
      <c r="AG43" s="145">
        <f>'[1]TEMP Summary'!$T$22</f>
        <v>0</v>
      </c>
      <c r="AH43" s="142">
        <f t="shared" si="10"/>
        <v>975</v>
      </c>
      <c r="AJ43" s="257"/>
      <c r="AK43" s="258"/>
    </row>
    <row r="44" spans="1:37" x14ac:dyDescent="0.25">
      <c r="A44" s="168"/>
      <c r="B44" s="143" t="s">
        <v>71</v>
      </c>
      <c r="C44" s="144">
        <v>2</v>
      </c>
      <c r="D44" s="144">
        <f>7-D37</f>
        <v>4</v>
      </c>
      <c r="E44" s="144">
        <f>15-E37</f>
        <v>11</v>
      </c>
      <c r="F44" s="144">
        <f>17-F37</f>
        <v>6</v>
      </c>
      <c r="G44" s="144">
        <f>9-G37</f>
        <v>4</v>
      </c>
      <c r="H44" s="144">
        <f>15-H37</f>
        <v>5</v>
      </c>
      <c r="I44" s="144">
        <f>'[1]TEMP Summary'!$T$22</f>
        <v>0</v>
      </c>
      <c r="J44" s="144">
        <f>'[1]TEMP Summary'!$T$22</f>
        <v>0</v>
      </c>
      <c r="K44" s="144">
        <f>7-K37</f>
        <v>1</v>
      </c>
      <c r="L44" s="144">
        <f>13-L37</f>
        <v>5</v>
      </c>
      <c r="M44" s="144">
        <f>15-M37</f>
        <v>6</v>
      </c>
      <c r="N44" s="144">
        <f>32-N37</f>
        <v>10</v>
      </c>
      <c r="O44" s="144">
        <f>11-O37</f>
        <v>7</v>
      </c>
      <c r="P44" s="144">
        <f>8-P37</f>
        <v>6</v>
      </c>
      <c r="Q44" s="144">
        <f>15-Q37</f>
        <v>4</v>
      </c>
      <c r="R44" s="144">
        <f>10-R37</f>
        <v>2</v>
      </c>
      <c r="S44" s="144">
        <f>23-S37</f>
        <v>12</v>
      </c>
      <c r="T44" s="144">
        <f>32-T37</f>
        <v>3</v>
      </c>
      <c r="U44" s="144">
        <f>38-U37</f>
        <v>12</v>
      </c>
      <c r="V44" s="144">
        <f>25-V37</f>
        <v>10</v>
      </c>
      <c r="W44" s="144">
        <f>19-W37</f>
        <v>11</v>
      </c>
      <c r="X44" s="144">
        <f>20-X37</f>
        <v>4</v>
      </c>
      <c r="Y44" s="144">
        <f>6-Y37</f>
        <v>1</v>
      </c>
      <c r="Z44" s="144">
        <f>13-Z37</f>
        <v>8</v>
      </c>
      <c r="AA44" s="144">
        <f>28-AA37</f>
        <v>3</v>
      </c>
      <c r="AB44" s="144">
        <f>32-AB37</f>
        <v>5</v>
      </c>
      <c r="AC44" s="144">
        <f>15-AC37</f>
        <v>4</v>
      </c>
      <c r="AD44" s="144">
        <f>19-AD37</f>
        <v>2</v>
      </c>
      <c r="AE44" s="144">
        <f>17-AE37</f>
        <v>3</v>
      </c>
      <c r="AF44" s="144">
        <f>20-AF37</f>
        <v>5</v>
      </c>
      <c r="AG44" s="145">
        <f>'[1]TEMP Summary'!$T$22</f>
        <v>0</v>
      </c>
      <c r="AH44" s="142">
        <f t="shared" si="10"/>
        <v>156</v>
      </c>
      <c r="AJ44" s="257"/>
      <c r="AK44" s="259"/>
    </row>
    <row r="45" spans="1:37" x14ac:dyDescent="0.25">
      <c r="A45" s="168"/>
      <c r="B45" s="443" t="s">
        <v>182</v>
      </c>
      <c r="C45" s="440">
        <f t="shared" ref="C45:AG45" si="13">SUM(C39:C44)</f>
        <v>144</v>
      </c>
      <c r="D45" s="440">
        <f t="shared" si="13"/>
        <v>118</v>
      </c>
      <c r="E45" s="440">
        <f t="shared" si="13"/>
        <v>217</v>
      </c>
      <c r="F45" s="440">
        <f t="shared" si="13"/>
        <v>201</v>
      </c>
      <c r="G45" s="440">
        <f t="shared" si="13"/>
        <v>144</v>
      </c>
      <c r="H45" s="440">
        <f t="shared" si="13"/>
        <v>242</v>
      </c>
      <c r="I45" s="440">
        <f t="shared" si="13"/>
        <v>140</v>
      </c>
      <c r="J45" s="440">
        <f t="shared" si="13"/>
        <v>205</v>
      </c>
      <c r="K45" s="440">
        <f t="shared" si="13"/>
        <v>191</v>
      </c>
      <c r="L45" s="440">
        <f t="shared" si="13"/>
        <v>244</v>
      </c>
      <c r="M45" s="440">
        <f t="shared" si="13"/>
        <v>272</v>
      </c>
      <c r="N45" s="440">
        <f t="shared" si="13"/>
        <v>230</v>
      </c>
      <c r="O45" s="440">
        <f t="shared" si="13"/>
        <v>203</v>
      </c>
      <c r="P45" s="440">
        <f t="shared" si="13"/>
        <v>153</v>
      </c>
      <c r="Q45" s="440">
        <f t="shared" si="13"/>
        <v>236</v>
      </c>
      <c r="R45" s="440">
        <f t="shared" si="13"/>
        <v>170</v>
      </c>
      <c r="S45" s="440">
        <f t="shared" si="13"/>
        <v>412</v>
      </c>
      <c r="T45" s="440">
        <f t="shared" si="13"/>
        <v>434</v>
      </c>
      <c r="U45" s="440">
        <f t="shared" si="13"/>
        <v>283</v>
      </c>
      <c r="V45" s="440">
        <f t="shared" si="13"/>
        <v>298</v>
      </c>
      <c r="W45" s="440">
        <f t="shared" si="13"/>
        <v>302</v>
      </c>
      <c r="X45" s="440">
        <f t="shared" si="13"/>
        <v>247</v>
      </c>
      <c r="Y45" s="440">
        <f t="shared" si="13"/>
        <v>289</v>
      </c>
      <c r="Z45" s="440">
        <f t="shared" si="13"/>
        <v>413</v>
      </c>
      <c r="AA45" s="440">
        <f t="shared" si="13"/>
        <v>263</v>
      </c>
      <c r="AB45" s="440">
        <f t="shared" si="13"/>
        <v>346</v>
      </c>
      <c r="AC45" s="440">
        <f t="shared" si="13"/>
        <v>307</v>
      </c>
      <c r="AD45" s="440">
        <f t="shared" si="13"/>
        <v>299</v>
      </c>
      <c r="AE45" s="440">
        <f t="shared" si="13"/>
        <v>276</v>
      </c>
      <c r="AF45" s="440">
        <f t="shared" si="13"/>
        <v>223</v>
      </c>
      <c r="AG45" s="442">
        <f t="shared" si="13"/>
        <v>0</v>
      </c>
      <c r="AH45" s="406">
        <f>SUM(C45:AG45)</f>
        <v>7502</v>
      </c>
      <c r="AJ45" s="405"/>
      <c r="AK45" s="404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338</v>
      </c>
      <c r="D46" s="147">
        <f t="shared" si="14"/>
        <v>325</v>
      </c>
      <c r="E46" s="147">
        <f t="shared" si="14"/>
        <v>590</v>
      </c>
      <c r="F46" s="147">
        <f t="shared" si="14"/>
        <v>505</v>
      </c>
      <c r="G46" s="147">
        <f t="shared" si="14"/>
        <v>407</v>
      </c>
      <c r="H46" s="147">
        <f t="shared" si="14"/>
        <v>576</v>
      </c>
      <c r="I46" s="147">
        <f t="shared" si="14"/>
        <v>452</v>
      </c>
      <c r="J46" s="147">
        <f t="shared" si="14"/>
        <v>519</v>
      </c>
      <c r="K46" s="147">
        <f t="shared" si="14"/>
        <v>507</v>
      </c>
      <c r="L46" s="147">
        <f t="shared" si="14"/>
        <v>595</v>
      </c>
      <c r="M46" s="147">
        <f t="shared" si="14"/>
        <v>647</v>
      </c>
      <c r="N46" s="147">
        <f t="shared" si="14"/>
        <v>549</v>
      </c>
      <c r="O46" s="147">
        <f t="shared" si="14"/>
        <v>493</v>
      </c>
      <c r="P46" s="147">
        <f t="shared" si="14"/>
        <v>444</v>
      </c>
      <c r="Q46" s="147">
        <f t="shared" si="14"/>
        <v>530</v>
      </c>
      <c r="R46" s="147">
        <f t="shared" si="14"/>
        <v>521</v>
      </c>
      <c r="S46" s="147">
        <f t="shared" si="14"/>
        <v>776</v>
      </c>
      <c r="T46" s="147">
        <f t="shared" si="14"/>
        <v>924</v>
      </c>
      <c r="U46" s="147">
        <f t="shared" si="14"/>
        <v>666</v>
      </c>
      <c r="V46" s="147">
        <f t="shared" si="14"/>
        <v>766</v>
      </c>
      <c r="W46" s="147">
        <f t="shared" si="14"/>
        <v>616</v>
      </c>
      <c r="X46" s="147">
        <f>SUM(X32:X37,X39:X44)</f>
        <v>662</v>
      </c>
      <c r="Y46" s="147">
        <f t="shared" si="14"/>
        <v>659</v>
      </c>
      <c r="Z46" s="147">
        <f t="shared" si="14"/>
        <v>866</v>
      </c>
      <c r="AA46" s="147">
        <f t="shared" si="14"/>
        <v>673</v>
      </c>
      <c r="AB46" s="147">
        <f t="shared" si="14"/>
        <v>815</v>
      </c>
      <c r="AC46" s="147">
        <f t="shared" si="14"/>
        <v>718</v>
      </c>
      <c r="AD46" s="147">
        <f t="shared" si="14"/>
        <v>723</v>
      </c>
      <c r="AE46" s="147">
        <f t="shared" si="14"/>
        <v>651</v>
      </c>
      <c r="AF46" s="147">
        <f t="shared" si="14"/>
        <v>641</v>
      </c>
      <c r="AG46" s="262">
        <f t="shared" si="14"/>
        <v>0</v>
      </c>
      <c r="AH46" s="148">
        <f>SUM(AH32:AH37,AH39:AH44)</f>
        <v>18154</v>
      </c>
      <c r="AJ46" s="260">
        <f>AH46</f>
        <v>18154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3" fitToHeight="0" orientation="landscape" verticalDpi="300" r:id="rId1"/>
  <headerFooter>
    <oddFooter>&amp;L&amp;8&amp;Z&amp;F&amp;R&amp;8&amp;A</oddFooter>
  </headerFooter>
  <ignoredErrors>
    <ignoredError sqref="C38 D38:W38 Y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F18" sqref="AF18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June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45078</v>
      </c>
      <c r="D2" s="106">
        <f>C2+1</f>
        <v>45079</v>
      </c>
      <c r="E2" s="106">
        <f>D2+1</f>
        <v>45080</v>
      </c>
      <c r="F2" s="106">
        <f t="shared" ref="F2:AG2" si="0">E2+1</f>
        <v>45081</v>
      </c>
      <c r="G2" s="106">
        <f t="shared" si="0"/>
        <v>45082</v>
      </c>
      <c r="H2" s="106">
        <f t="shared" si="0"/>
        <v>45083</v>
      </c>
      <c r="I2" s="106">
        <f t="shared" si="0"/>
        <v>45084</v>
      </c>
      <c r="J2" s="106">
        <f t="shared" si="0"/>
        <v>45085</v>
      </c>
      <c r="K2" s="106">
        <f t="shared" si="0"/>
        <v>45086</v>
      </c>
      <c r="L2" s="106">
        <f t="shared" si="0"/>
        <v>45087</v>
      </c>
      <c r="M2" s="106">
        <f t="shared" si="0"/>
        <v>45088</v>
      </c>
      <c r="N2" s="106">
        <f t="shared" si="0"/>
        <v>45089</v>
      </c>
      <c r="O2" s="106">
        <f t="shared" si="0"/>
        <v>45090</v>
      </c>
      <c r="P2" s="106">
        <f t="shared" si="0"/>
        <v>45091</v>
      </c>
      <c r="Q2" s="106">
        <f t="shared" si="0"/>
        <v>45092</v>
      </c>
      <c r="R2" s="106">
        <f t="shared" si="0"/>
        <v>45093</v>
      </c>
      <c r="S2" s="106">
        <f t="shared" si="0"/>
        <v>45094</v>
      </c>
      <c r="T2" s="106">
        <f t="shared" si="0"/>
        <v>45095</v>
      </c>
      <c r="U2" s="106">
        <f t="shared" si="0"/>
        <v>45096</v>
      </c>
      <c r="V2" s="106">
        <f t="shared" si="0"/>
        <v>45097</v>
      </c>
      <c r="W2" s="106">
        <f t="shared" si="0"/>
        <v>45098</v>
      </c>
      <c r="X2" s="106">
        <f t="shared" si="0"/>
        <v>45099</v>
      </c>
      <c r="Y2" s="106">
        <f t="shared" si="0"/>
        <v>45100</v>
      </c>
      <c r="Z2" s="106">
        <f t="shared" si="0"/>
        <v>45101</v>
      </c>
      <c r="AA2" s="106">
        <f t="shared" si="0"/>
        <v>45102</v>
      </c>
      <c r="AB2" s="106">
        <f t="shared" si="0"/>
        <v>45103</v>
      </c>
      <c r="AC2" s="106">
        <f t="shared" si="0"/>
        <v>45104</v>
      </c>
      <c r="AD2" s="106">
        <f t="shared" si="0"/>
        <v>45105</v>
      </c>
      <c r="AE2" s="106">
        <f t="shared" si="0"/>
        <v>45106</v>
      </c>
      <c r="AF2" s="106">
        <f t="shared" si="0"/>
        <v>45107</v>
      </c>
      <c r="AG2" s="106">
        <f t="shared" si="0"/>
        <v>45108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1.7</v>
      </c>
      <c r="D3" s="185">
        <v>2.4500000000000002</v>
      </c>
      <c r="E3" s="185">
        <v>8.8699999999999992</v>
      </c>
      <c r="F3" s="185">
        <v>5.76</v>
      </c>
      <c r="G3" s="185">
        <v>6.33</v>
      </c>
      <c r="H3" s="185">
        <v>2.98</v>
      </c>
      <c r="I3" s="185">
        <v>6.81</v>
      </c>
      <c r="J3" s="185">
        <v>4.29</v>
      </c>
      <c r="K3" s="185">
        <v>2.36</v>
      </c>
      <c r="L3" s="185">
        <v>8.9</v>
      </c>
      <c r="M3" s="185"/>
      <c r="N3" s="185">
        <v>4.45</v>
      </c>
      <c r="O3" s="185">
        <v>1.66</v>
      </c>
      <c r="P3" s="185">
        <v>13.89</v>
      </c>
      <c r="Q3" s="185">
        <v>3.13</v>
      </c>
      <c r="R3" s="185">
        <v>8.7799999999999994</v>
      </c>
      <c r="S3" s="185">
        <v>5.25</v>
      </c>
      <c r="T3" s="185">
        <v>18.7</v>
      </c>
      <c r="U3" s="185">
        <v>15.21</v>
      </c>
      <c r="V3" s="185">
        <v>8.82</v>
      </c>
      <c r="W3" s="185">
        <v>2.84</v>
      </c>
      <c r="X3" s="185">
        <v>6.72</v>
      </c>
      <c r="Y3" s="185">
        <v>12.85</v>
      </c>
      <c r="Z3" s="185">
        <v>10.02</v>
      </c>
      <c r="AA3" s="185">
        <v>7.47</v>
      </c>
      <c r="AB3" s="185">
        <v>8.5</v>
      </c>
      <c r="AC3" s="185">
        <v>5.67</v>
      </c>
      <c r="AD3" s="185">
        <v>13.94</v>
      </c>
      <c r="AE3" s="185">
        <v>4.16</v>
      </c>
      <c r="AF3" s="185">
        <v>16.73</v>
      </c>
      <c r="AG3" s="185"/>
      <c r="AH3" s="108">
        <f>SUM(C3:AG3)</f>
        <v>219.23999999999995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>
        <v>43.25</v>
      </c>
      <c r="D4" s="72">
        <v>25.99</v>
      </c>
      <c r="E4" s="71">
        <v>93.94</v>
      </c>
      <c r="F4" s="71">
        <v>61</v>
      </c>
      <c r="G4" s="71">
        <v>67</v>
      </c>
      <c r="H4" s="71">
        <v>31.5</v>
      </c>
      <c r="I4" s="71">
        <v>72</v>
      </c>
      <c r="J4" s="71">
        <v>45.43</v>
      </c>
      <c r="K4" s="71">
        <v>24.98</v>
      </c>
      <c r="L4" s="71">
        <v>194.98</v>
      </c>
      <c r="M4" s="71"/>
      <c r="N4" s="71">
        <v>47</v>
      </c>
      <c r="O4" s="71">
        <v>17.5</v>
      </c>
      <c r="P4" s="71">
        <v>146.85</v>
      </c>
      <c r="Q4" s="71">
        <v>33</v>
      </c>
      <c r="R4" s="71">
        <v>92.97</v>
      </c>
      <c r="S4" s="71">
        <v>55.5</v>
      </c>
      <c r="T4" s="71">
        <v>197.78</v>
      </c>
      <c r="U4" s="71">
        <v>161</v>
      </c>
      <c r="V4" s="71">
        <v>93</v>
      </c>
      <c r="W4" s="71">
        <v>29.99</v>
      </c>
      <c r="X4" s="71">
        <v>70.98</v>
      </c>
      <c r="Y4" s="71">
        <v>135.94999999999999</v>
      </c>
      <c r="Z4" s="71">
        <v>105.95</v>
      </c>
      <c r="AA4" s="71">
        <v>79</v>
      </c>
      <c r="AB4" s="71">
        <v>140.49</v>
      </c>
      <c r="AC4" s="71">
        <v>59.94</v>
      </c>
      <c r="AD4" s="71">
        <v>147.41999999999999</v>
      </c>
      <c r="AE4" s="71">
        <v>69.19</v>
      </c>
      <c r="AF4" s="71">
        <v>176.94</v>
      </c>
      <c r="AG4" s="71"/>
      <c r="AH4" s="108">
        <f t="shared" ref="AH4" si="1">SUM(C4:AG4)</f>
        <v>2520.5200000000004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44.95</v>
      </c>
      <c r="D5" s="107">
        <f t="shared" si="2"/>
        <v>28.439999999999998</v>
      </c>
      <c r="E5" s="107">
        <f t="shared" si="2"/>
        <v>102.81</v>
      </c>
      <c r="F5" s="107">
        <f t="shared" si="2"/>
        <v>66.760000000000005</v>
      </c>
      <c r="G5" s="107">
        <f t="shared" si="2"/>
        <v>73.33</v>
      </c>
      <c r="H5" s="107">
        <f t="shared" si="2"/>
        <v>34.479999999999997</v>
      </c>
      <c r="I5" s="107">
        <f t="shared" si="2"/>
        <v>78.81</v>
      </c>
      <c r="J5" s="107">
        <f t="shared" si="2"/>
        <v>49.72</v>
      </c>
      <c r="K5" s="107">
        <f t="shared" si="2"/>
        <v>27.34</v>
      </c>
      <c r="L5" s="107">
        <f t="shared" si="2"/>
        <v>203.88</v>
      </c>
      <c r="M5" s="107">
        <f t="shared" si="2"/>
        <v>0</v>
      </c>
      <c r="N5" s="107">
        <f t="shared" si="2"/>
        <v>51.45</v>
      </c>
      <c r="O5" s="107">
        <f t="shared" si="2"/>
        <v>19.16</v>
      </c>
      <c r="P5" s="107">
        <f t="shared" si="2"/>
        <v>160.74</v>
      </c>
      <c r="Q5" s="107">
        <f t="shared" si="2"/>
        <v>36.130000000000003</v>
      </c>
      <c r="R5" s="107">
        <f t="shared" si="2"/>
        <v>101.75</v>
      </c>
      <c r="S5" s="107">
        <f t="shared" si="2"/>
        <v>60.75</v>
      </c>
      <c r="T5" s="107">
        <f t="shared" si="2"/>
        <v>216.48</v>
      </c>
      <c r="U5" s="107">
        <f t="shared" si="2"/>
        <v>176.21</v>
      </c>
      <c r="V5" s="107">
        <f t="shared" si="2"/>
        <v>101.82</v>
      </c>
      <c r="W5" s="107">
        <f t="shared" si="2"/>
        <v>32.83</v>
      </c>
      <c r="X5" s="107">
        <f t="shared" si="2"/>
        <v>77.7</v>
      </c>
      <c r="Y5" s="107">
        <f t="shared" si="2"/>
        <v>148.79999999999998</v>
      </c>
      <c r="Z5" s="107">
        <f t="shared" si="2"/>
        <v>115.97</v>
      </c>
      <c r="AA5" s="107">
        <f t="shared" si="2"/>
        <v>86.47</v>
      </c>
      <c r="AB5" s="107">
        <f t="shared" si="2"/>
        <v>148.99</v>
      </c>
      <c r="AC5" s="107">
        <f t="shared" si="2"/>
        <v>65.61</v>
      </c>
      <c r="AD5" s="107">
        <f t="shared" si="2"/>
        <v>161.35999999999999</v>
      </c>
      <c r="AE5" s="107">
        <f t="shared" si="2"/>
        <v>73.349999999999994</v>
      </c>
      <c r="AF5" s="107">
        <f t="shared" si="2"/>
        <v>193.67</v>
      </c>
      <c r="AG5" s="107">
        <f t="shared" si="2"/>
        <v>0</v>
      </c>
      <c r="AH5" s="109">
        <f>SUM(C3:AG4)</f>
        <v>2739.7599999999998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1">
        <v>6.02</v>
      </c>
      <c r="D7" s="391">
        <v>8.19</v>
      </c>
      <c r="E7" s="391">
        <v>20.73</v>
      </c>
      <c r="F7" s="391">
        <v>17.510000000000002</v>
      </c>
      <c r="G7" s="391">
        <v>15.32</v>
      </c>
      <c r="H7" s="391"/>
      <c r="I7" s="391">
        <v>2.19</v>
      </c>
      <c r="J7" s="391">
        <v>49.72</v>
      </c>
      <c r="K7" s="391">
        <v>7.65</v>
      </c>
      <c r="L7" s="391"/>
      <c r="M7" s="391"/>
      <c r="N7" s="391">
        <v>15.33</v>
      </c>
      <c r="O7" s="391">
        <v>19.16</v>
      </c>
      <c r="P7" s="391">
        <v>29.56</v>
      </c>
      <c r="Q7" s="391">
        <v>20.8</v>
      </c>
      <c r="R7" s="391">
        <v>8.18</v>
      </c>
      <c r="S7" s="391">
        <v>22.44</v>
      </c>
      <c r="T7" s="391">
        <v>2.1800000000000002</v>
      </c>
      <c r="U7" s="391">
        <v>141.19</v>
      </c>
      <c r="V7" s="391">
        <v>17.510000000000002</v>
      </c>
      <c r="W7" s="391">
        <v>24.07</v>
      </c>
      <c r="X7" s="391">
        <v>15.31</v>
      </c>
      <c r="Y7" s="391">
        <v>2.19</v>
      </c>
      <c r="Z7" s="391">
        <v>43.78</v>
      </c>
      <c r="AA7" s="391">
        <v>28.46</v>
      </c>
      <c r="AB7" s="391">
        <v>84.43</v>
      </c>
      <c r="AC7" s="391">
        <v>6.57</v>
      </c>
      <c r="AD7" s="391">
        <v>16.420000000000002</v>
      </c>
      <c r="AE7" s="392">
        <v>8.76</v>
      </c>
      <c r="AF7" s="392">
        <v>40.44</v>
      </c>
      <c r="AG7" s="392"/>
      <c r="AH7" s="110">
        <f>SUM(C7:AG7)</f>
        <v>674.11000000000013</v>
      </c>
      <c r="AJ7" s="137" t="s">
        <v>60</v>
      </c>
      <c r="AK7" s="138" t="s">
        <v>212</v>
      </c>
      <c r="AL7" s="386">
        <f>SUM(C7:AD7)</f>
        <v>624.91000000000008</v>
      </c>
      <c r="AM7" s="387">
        <f>SUM(AE7:AG7)</f>
        <v>49.199999999999996</v>
      </c>
    </row>
    <row r="8" spans="1:40" ht="16.5" thickBot="1" x14ac:dyDescent="0.3">
      <c r="A8" s="90" t="s">
        <v>60</v>
      </c>
      <c r="B8" s="91" t="s">
        <v>55</v>
      </c>
      <c r="C8" s="481">
        <v>38.93</v>
      </c>
      <c r="D8" s="481">
        <v>20.25</v>
      </c>
      <c r="E8" s="481">
        <v>82.08</v>
      </c>
      <c r="F8" s="481">
        <v>49.25</v>
      </c>
      <c r="G8" s="481">
        <v>58.01</v>
      </c>
      <c r="H8" s="481">
        <v>34.479999999999997</v>
      </c>
      <c r="I8" s="481">
        <v>76.62</v>
      </c>
      <c r="J8" s="389"/>
      <c r="K8" s="481">
        <v>19.690000000000001</v>
      </c>
      <c r="L8" s="481">
        <v>203.88</v>
      </c>
      <c r="M8" s="389"/>
      <c r="N8" s="481">
        <v>36.119999999999997</v>
      </c>
      <c r="O8" s="389"/>
      <c r="P8" s="481">
        <v>131.18</v>
      </c>
      <c r="Q8" s="481">
        <v>15.33</v>
      </c>
      <c r="R8" s="481">
        <v>93.57</v>
      </c>
      <c r="S8" s="481">
        <v>38.31</v>
      </c>
      <c r="T8" s="481">
        <v>214.3</v>
      </c>
      <c r="U8" s="481">
        <v>35.020000000000003</v>
      </c>
      <c r="V8" s="481">
        <v>84.31</v>
      </c>
      <c r="W8" s="481">
        <v>8.76</v>
      </c>
      <c r="X8" s="481">
        <v>62.39</v>
      </c>
      <c r="Y8" s="481">
        <v>146.61000000000001</v>
      </c>
      <c r="Z8" s="481">
        <v>72.19</v>
      </c>
      <c r="AA8" s="481">
        <v>58.01</v>
      </c>
      <c r="AB8" s="496">
        <v>64.56</v>
      </c>
      <c r="AC8" s="496">
        <v>59.04</v>
      </c>
      <c r="AD8" s="496">
        <v>144.94</v>
      </c>
      <c r="AE8" s="496">
        <v>64.59</v>
      </c>
      <c r="AF8" s="496">
        <v>153.22999999999999</v>
      </c>
      <c r="AG8" s="390"/>
      <c r="AH8" s="111">
        <f t="shared" ref="AH8" si="3">SUM(C8:AG8)</f>
        <v>2065.65</v>
      </c>
      <c r="AJ8" s="129" t="s">
        <v>60</v>
      </c>
      <c r="AK8" s="130" t="s">
        <v>213</v>
      </c>
      <c r="AL8" s="290">
        <f>SUM(C8:AA8)-AL13</f>
        <v>1531.8500000000001</v>
      </c>
      <c r="AM8" s="291">
        <f>SUM(AB8:AG8)-AM13</f>
        <v>471.76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44.95</v>
      </c>
      <c r="D9" s="107">
        <f t="shared" si="4"/>
        <v>28.439999999999998</v>
      </c>
      <c r="E9" s="107">
        <f t="shared" si="4"/>
        <v>102.81</v>
      </c>
      <c r="F9" s="107">
        <f t="shared" si="4"/>
        <v>66.760000000000005</v>
      </c>
      <c r="G9" s="107">
        <f t="shared" si="4"/>
        <v>73.33</v>
      </c>
      <c r="H9" s="107">
        <f t="shared" si="4"/>
        <v>34.479999999999997</v>
      </c>
      <c r="I9" s="107">
        <f t="shared" si="4"/>
        <v>78.81</v>
      </c>
      <c r="J9" s="107">
        <f t="shared" si="4"/>
        <v>49.72</v>
      </c>
      <c r="K9" s="107">
        <f t="shared" si="4"/>
        <v>27.340000000000003</v>
      </c>
      <c r="L9" s="107">
        <f t="shared" si="4"/>
        <v>203.88</v>
      </c>
      <c r="M9" s="107">
        <f t="shared" si="4"/>
        <v>0</v>
      </c>
      <c r="N9" s="107">
        <f t="shared" si="4"/>
        <v>51.449999999999996</v>
      </c>
      <c r="O9" s="107">
        <f t="shared" si="4"/>
        <v>19.16</v>
      </c>
      <c r="P9" s="107">
        <f t="shared" si="4"/>
        <v>160.74</v>
      </c>
      <c r="Q9" s="107">
        <f t="shared" si="4"/>
        <v>36.130000000000003</v>
      </c>
      <c r="R9" s="107">
        <f t="shared" si="4"/>
        <v>101.75</v>
      </c>
      <c r="S9" s="107">
        <f t="shared" si="4"/>
        <v>60.75</v>
      </c>
      <c r="T9" s="107">
        <f t="shared" si="4"/>
        <v>216.48000000000002</v>
      </c>
      <c r="U9" s="107">
        <f t="shared" si="4"/>
        <v>176.21</v>
      </c>
      <c r="V9" s="107">
        <f t="shared" si="4"/>
        <v>101.82000000000001</v>
      </c>
      <c r="W9" s="107">
        <f t="shared" si="4"/>
        <v>32.83</v>
      </c>
      <c r="X9" s="107">
        <f t="shared" si="4"/>
        <v>77.7</v>
      </c>
      <c r="Y9" s="107">
        <f t="shared" si="4"/>
        <v>148.80000000000001</v>
      </c>
      <c r="Z9" s="107">
        <f t="shared" si="4"/>
        <v>115.97</v>
      </c>
      <c r="AA9" s="107">
        <f t="shared" si="4"/>
        <v>86.47</v>
      </c>
      <c r="AB9" s="107">
        <f t="shared" si="4"/>
        <v>148.99</v>
      </c>
      <c r="AC9" s="107">
        <f t="shared" si="4"/>
        <v>65.61</v>
      </c>
      <c r="AD9" s="107">
        <f t="shared" si="4"/>
        <v>161.36000000000001</v>
      </c>
      <c r="AE9" s="107">
        <f t="shared" si="4"/>
        <v>73.350000000000009</v>
      </c>
      <c r="AF9" s="107">
        <f t="shared" si="4"/>
        <v>193.67</v>
      </c>
      <c r="AG9" s="107">
        <f t="shared" si="4"/>
        <v>0</v>
      </c>
      <c r="AH9" s="110">
        <f>SUM(C9:AG9)</f>
        <v>2739.7599999999998</v>
      </c>
      <c r="AI9" s="59"/>
      <c r="AJ9" s="507" t="s">
        <v>76</v>
      </c>
      <c r="AK9" s="508"/>
      <c r="AL9" s="509">
        <f>SUM(AL7:AM8)</f>
        <v>2677.7200000000003</v>
      </c>
      <c r="AM9" s="510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3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4"/>
      <c r="AK12" s="225"/>
      <c r="AL12" s="99"/>
      <c r="AM12" s="475">
        <f>AL9+AL11+AM11+AL13+AM13</f>
        <v>2739.76</v>
      </c>
      <c r="AN12" s="474">
        <f>AM12-AH5</f>
        <v>0</v>
      </c>
    </row>
    <row r="13" spans="1:40" s="99" customFormat="1" ht="16.5" thickBot="1" x14ac:dyDescent="0.3">
      <c r="A13" s="463" t="s">
        <v>216</v>
      </c>
      <c r="B13" s="101" t="s">
        <v>195</v>
      </c>
      <c r="C13" s="482">
        <v>1.17</v>
      </c>
      <c r="D13" s="482">
        <v>0.61</v>
      </c>
      <c r="E13" s="482">
        <v>2.46</v>
      </c>
      <c r="F13" s="482">
        <v>1.48</v>
      </c>
      <c r="G13" s="482">
        <v>1.74</v>
      </c>
      <c r="H13" s="482">
        <v>1.04</v>
      </c>
      <c r="I13" s="482">
        <v>2.31</v>
      </c>
      <c r="J13" s="465"/>
      <c r="K13" s="482">
        <v>0.59</v>
      </c>
      <c r="L13" s="482">
        <v>6.12</v>
      </c>
      <c r="M13" s="465"/>
      <c r="N13" s="482">
        <v>1.08</v>
      </c>
      <c r="O13" s="465"/>
      <c r="P13" s="482">
        <v>3.94</v>
      </c>
      <c r="Q13" s="482">
        <v>0.46</v>
      </c>
      <c r="R13" s="482">
        <v>2.8</v>
      </c>
      <c r="S13" s="482">
        <v>1.1499999999999999</v>
      </c>
      <c r="T13" s="482">
        <v>6.45</v>
      </c>
      <c r="U13" s="482">
        <v>1.05</v>
      </c>
      <c r="V13" s="482">
        <v>2.5299999999999998</v>
      </c>
      <c r="W13" s="482">
        <v>0.26</v>
      </c>
      <c r="X13" s="482">
        <v>1.88</v>
      </c>
      <c r="Y13" s="482">
        <v>4.41</v>
      </c>
      <c r="Z13" s="482">
        <v>2.17</v>
      </c>
      <c r="AA13" s="482">
        <v>1.74</v>
      </c>
      <c r="AB13" s="497">
        <v>1.94</v>
      </c>
      <c r="AC13" s="497">
        <v>1.77</v>
      </c>
      <c r="AD13" s="497">
        <v>4.3499999999999996</v>
      </c>
      <c r="AE13" s="497">
        <v>1.94</v>
      </c>
      <c r="AF13" s="497">
        <v>4.5999999999999996</v>
      </c>
      <c r="AG13" s="480"/>
      <c r="AH13" s="466">
        <f t="shared" ref="AH13" si="6">SUM(C13:AG13)</f>
        <v>62.040000000000006</v>
      </c>
      <c r="AI13" s="62"/>
      <c r="AJ13" s="463" t="s">
        <v>216</v>
      </c>
      <c r="AK13" s="212" t="s">
        <v>197</v>
      </c>
      <c r="AL13" s="271">
        <f>SUM(C13:AA13)</f>
        <v>47.440000000000005</v>
      </c>
      <c r="AM13" s="272">
        <f>SUM(AB13:AG13)</f>
        <v>14.599999999999998</v>
      </c>
      <c r="AN13" s="274"/>
    </row>
    <row r="14" spans="1:40" s="102" customFormat="1" x14ac:dyDescent="0.25">
      <c r="A14" s="224"/>
      <c r="B14" s="225"/>
      <c r="C14" s="479">
        <f>C8-C13</f>
        <v>37.76</v>
      </c>
      <c r="D14" s="479">
        <f t="shared" ref="D14:AG14" si="7">D8-D13</f>
        <v>19.64</v>
      </c>
      <c r="E14" s="479">
        <f t="shared" si="7"/>
        <v>79.62</v>
      </c>
      <c r="F14" s="479">
        <f t="shared" si="7"/>
        <v>47.77</v>
      </c>
      <c r="G14" s="479">
        <f t="shared" si="7"/>
        <v>56.269999999999996</v>
      </c>
      <c r="H14" s="479">
        <f t="shared" si="7"/>
        <v>33.44</v>
      </c>
      <c r="I14" s="479">
        <f t="shared" si="7"/>
        <v>74.31</v>
      </c>
      <c r="J14" s="479">
        <f t="shared" si="7"/>
        <v>0</v>
      </c>
      <c r="K14" s="479">
        <f t="shared" si="7"/>
        <v>19.100000000000001</v>
      </c>
      <c r="L14" s="479">
        <f t="shared" si="7"/>
        <v>197.76</v>
      </c>
      <c r="M14" s="479">
        <f t="shared" si="7"/>
        <v>0</v>
      </c>
      <c r="N14" s="479">
        <f t="shared" si="7"/>
        <v>35.04</v>
      </c>
      <c r="O14" s="479">
        <f t="shared" si="7"/>
        <v>0</v>
      </c>
      <c r="P14" s="479">
        <f t="shared" si="7"/>
        <v>127.24000000000001</v>
      </c>
      <c r="Q14" s="479">
        <f t="shared" si="7"/>
        <v>14.87</v>
      </c>
      <c r="R14" s="479">
        <f t="shared" si="7"/>
        <v>90.77</v>
      </c>
      <c r="S14" s="479">
        <f t="shared" si="7"/>
        <v>37.160000000000004</v>
      </c>
      <c r="T14" s="479">
        <f t="shared" si="7"/>
        <v>207.85000000000002</v>
      </c>
      <c r="U14" s="479">
        <f t="shared" si="7"/>
        <v>33.970000000000006</v>
      </c>
      <c r="V14" s="479">
        <f t="shared" si="7"/>
        <v>81.78</v>
      </c>
      <c r="W14" s="479">
        <f t="shared" si="7"/>
        <v>8.5</v>
      </c>
      <c r="X14" s="479">
        <f t="shared" si="7"/>
        <v>60.51</v>
      </c>
      <c r="Y14" s="479">
        <f t="shared" si="7"/>
        <v>142.20000000000002</v>
      </c>
      <c r="Z14" s="479">
        <f t="shared" si="7"/>
        <v>70.02</v>
      </c>
      <c r="AA14" s="479">
        <f t="shared" si="7"/>
        <v>56.269999999999996</v>
      </c>
      <c r="AB14" s="479">
        <f t="shared" si="7"/>
        <v>62.620000000000005</v>
      </c>
      <c r="AC14" s="479">
        <f t="shared" si="7"/>
        <v>57.269999999999996</v>
      </c>
      <c r="AD14" s="479">
        <f t="shared" si="7"/>
        <v>140.59</v>
      </c>
      <c r="AE14" s="479">
        <f t="shared" si="7"/>
        <v>62.650000000000006</v>
      </c>
      <c r="AF14" s="479">
        <f t="shared" si="7"/>
        <v>148.63</v>
      </c>
      <c r="AG14" s="479">
        <f t="shared" si="7"/>
        <v>0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opLeftCell="A14" workbookViewId="0">
      <selection activeCell="K45" sqref="K45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June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5" t="s">
        <v>181</v>
      </c>
      <c r="B3" s="526"/>
      <c r="C3" s="527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344510.60000000003</v>
      </c>
      <c r="D4" s="531"/>
      <c r="E4" s="532"/>
      <c r="F4" s="532"/>
    </row>
    <row r="5" spans="1:6" ht="14.1" customHeight="1" x14ac:dyDescent="0.25">
      <c r="A5" s="90" t="s">
        <v>173</v>
      </c>
      <c r="B5" s="91" t="s">
        <v>63</v>
      </c>
      <c r="C5" s="187">
        <f>Pool!AH9</f>
        <v>19132</v>
      </c>
      <c r="D5" s="530"/>
      <c r="E5" s="524"/>
      <c r="F5" s="524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66878.86</v>
      </c>
      <c r="D6" s="533"/>
      <c r="E6" s="534"/>
      <c r="F6" s="534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30"/>
      <c r="E7" s="524"/>
      <c r="F7" s="524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30"/>
      <c r="E8" s="524"/>
      <c r="F8" s="524"/>
    </row>
    <row r="9" spans="1:6" ht="14.1" customHeight="1" x14ac:dyDescent="0.25">
      <c r="A9" s="90" t="s">
        <v>34</v>
      </c>
      <c r="B9" s="91" t="s">
        <v>35</v>
      </c>
      <c r="C9" s="187">
        <f>Pool!AH14</f>
        <v>2127</v>
      </c>
      <c r="D9" s="530"/>
      <c r="E9" s="524"/>
      <c r="F9" s="524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23717.790000000005</v>
      </c>
      <c r="D10" s="530"/>
      <c r="E10" s="524"/>
      <c r="F10" s="524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30"/>
      <c r="E11" s="524"/>
      <c r="F11" s="524"/>
    </row>
    <row r="12" spans="1:6" ht="14.1" customHeight="1" x14ac:dyDescent="0.25">
      <c r="A12" s="90" t="s">
        <v>77</v>
      </c>
      <c r="B12" s="91" t="s">
        <v>193</v>
      </c>
      <c r="C12" s="187">
        <f>Pool!AH18</f>
        <v>9027</v>
      </c>
      <c r="D12" s="530"/>
      <c r="E12" s="524"/>
      <c r="F12" s="524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30"/>
      <c r="E13" s="524"/>
      <c r="F13" s="524"/>
    </row>
    <row r="14" spans="1:6" ht="14.1" customHeight="1" x14ac:dyDescent="0.25">
      <c r="A14" s="90" t="s">
        <v>40</v>
      </c>
      <c r="B14" s="91" t="s">
        <v>228</v>
      </c>
      <c r="C14" s="187">
        <f>Pool!AH20</f>
        <v>945</v>
      </c>
      <c r="D14" s="530"/>
      <c r="E14" s="524"/>
      <c r="F14" s="524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675</v>
      </c>
      <c r="D15" s="530"/>
      <c r="E15" s="524"/>
      <c r="F15" s="524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30"/>
      <c r="E16" s="524"/>
      <c r="F16" s="524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30"/>
      <c r="E17" s="524"/>
      <c r="F17" s="524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30"/>
      <c r="E18" s="524"/>
      <c r="F18" s="524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30"/>
      <c r="E19" s="524"/>
      <c r="F19" s="524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30"/>
      <c r="E20" s="524"/>
      <c r="F20" s="524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30"/>
      <c r="E21" s="524"/>
      <c r="F21" s="524"/>
    </row>
    <row r="22" spans="1:7" ht="14.1" customHeight="1" x14ac:dyDescent="0.25">
      <c r="A22" s="189"/>
      <c r="B22" s="207" t="s">
        <v>64</v>
      </c>
      <c r="C22" s="470">
        <f>C4+C5+C6+C7+C8+C9+C10+C11+C12+C15+C14</f>
        <v>467013.25</v>
      </c>
      <c r="D22" s="524" t="s">
        <v>171</v>
      </c>
      <c r="E22" s="524"/>
      <c r="F22" s="524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5" t="s">
        <v>174</v>
      </c>
      <c r="B24" s="526"/>
      <c r="C24" s="527"/>
    </row>
    <row r="25" spans="1:7" ht="14.1" customHeight="1" x14ac:dyDescent="0.25">
      <c r="A25" s="126" t="s">
        <v>61</v>
      </c>
      <c r="B25" s="393" t="s">
        <v>62</v>
      </c>
      <c r="C25" s="394">
        <f>Pool!AH3</f>
        <v>2376.3599999999997</v>
      </c>
      <c r="D25" s="530"/>
      <c r="E25" s="524"/>
      <c r="F25" s="524"/>
    </row>
    <row r="26" spans="1:7" ht="14.1" hidden="1" customHeight="1" x14ac:dyDescent="0.25">
      <c r="A26" s="129" t="s">
        <v>153</v>
      </c>
      <c r="B26" s="395" t="s">
        <v>154</v>
      </c>
      <c r="C26" s="397">
        <f>Pool!AH11</f>
        <v>0</v>
      </c>
      <c r="D26" s="530" t="s">
        <v>179</v>
      </c>
      <c r="E26" s="524"/>
      <c r="F26" s="524"/>
    </row>
    <row r="27" spans="1:7" ht="14.1" hidden="1" customHeight="1" x14ac:dyDescent="0.25">
      <c r="A27" s="129" t="s">
        <v>164</v>
      </c>
      <c r="B27" s="395" t="s">
        <v>165</v>
      </c>
      <c r="C27" s="397">
        <f>Pool!AH12</f>
        <v>0</v>
      </c>
      <c r="D27" s="530" t="s">
        <v>169</v>
      </c>
      <c r="E27" s="524"/>
      <c r="F27" s="524"/>
    </row>
    <row r="28" spans="1:7" ht="14.1" hidden="1" customHeight="1" x14ac:dyDescent="0.25">
      <c r="A28" s="129" t="s">
        <v>166</v>
      </c>
      <c r="B28" s="395" t="s">
        <v>167</v>
      </c>
      <c r="C28" s="397">
        <f>Pool!AH13</f>
        <v>0</v>
      </c>
      <c r="D28" s="530" t="s">
        <v>170</v>
      </c>
      <c r="E28" s="524"/>
      <c r="F28" s="524"/>
    </row>
    <row r="29" spans="1:7" ht="14.1" customHeight="1" thickBot="1" x14ac:dyDescent="0.3">
      <c r="A29" s="135" t="s">
        <v>109</v>
      </c>
      <c r="B29" s="396" t="s">
        <v>175</v>
      </c>
      <c r="C29" s="398">
        <f>Pool!AH28</f>
        <v>78</v>
      </c>
      <c r="D29" s="530" t="s">
        <v>175</v>
      </c>
      <c r="E29" s="524"/>
      <c r="F29" s="524"/>
    </row>
    <row r="30" spans="1:7" ht="14.1" customHeight="1" x14ac:dyDescent="0.25">
      <c r="A30" s="116"/>
      <c r="B30" s="399" t="s">
        <v>176</v>
      </c>
      <c r="C30" s="400">
        <f>SUM(C25:C29)</f>
        <v>2454.3599999999997</v>
      </c>
      <c r="F30" s="210"/>
    </row>
    <row r="31" spans="1:7" ht="5.0999999999999996" customHeight="1" x14ac:dyDescent="0.25">
      <c r="A31" s="116"/>
      <c r="B31" s="401"/>
      <c r="C31" s="400"/>
      <c r="F31" s="210"/>
    </row>
    <row r="32" spans="1:7" ht="14.1" customHeight="1" x14ac:dyDescent="0.25">
      <c r="A32" s="116"/>
      <c r="B32" s="402" t="s">
        <v>177</v>
      </c>
      <c r="C32" s="403">
        <f>C30+C22</f>
        <v>469467.61</v>
      </c>
      <c r="D32" s="524" t="s">
        <v>178</v>
      </c>
      <c r="E32" s="524"/>
      <c r="F32" s="524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5" t="s">
        <v>180</v>
      </c>
      <c r="B34" s="526"/>
      <c r="C34" s="527"/>
    </row>
    <row r="35" spans="1:6" ht="14.1" customHeight="1" x14ac:dyDescent="0.25">
      <c r="A35" s="126" t="s">
        <v>60</v>
      </c>
      <c r="B35" s="127" t="s">
        <v>86</v>
      </c>
      <c r="C35" s="157">
        <f>Pool!AL33</f>
        <v>63683.069999999992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2012.63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318090.8000000001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73074.91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255.01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12194.85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67.75999999999658</v>
      </c>
      <c r="D42" s="528"/>
      <c r="E42" s="529"/>
      <c r="F42" s="529"/>
    </row>
    <row r="43" spans="1:6" ht="14.1" customHeight="1" x14ac:dyDescent="0.25">
      <c r="A43" s="361" t="s">
        <v>67</v>
      </c>
      <c r="B43" s="362" t="s">
        <v>91</v>
      </c>
      <c r="C43" s="379">
        <f>Pool!AL37</f>
        <v>2.1800000000000002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86.4</v>
      </c>
    </row>
    <row r="45" spans="1:6" ht="12.75" customHeight="1" x14ac:dyDescent="0.25">
      <c r="A45" s="205"/>
      <c r="B45" s="208" t="s">
        <v>65</v>
      </c>
      <c r="C45" s="209">
        <f>SUM(C35:C44)</f>
        <v>469467.61000000016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20199</v>
      </c>
    </row>
    <row r="48" spans="1:6" ht="14.1" customHeight="1" x14ac:dyDescent="0.25">
      <c r="B48" s="129" t="s">
        <v>58</v>
      </c>
      <c r="C48" s="237">
        <f>Pool!AJ48</f>
        <v>3007</v>
      </c>
    </row>
    <row r="49" spans="1:5" ht="14.1" customHeight="1" thickBot="1" x14ac:dyDescent="0.3">
      <c r="B49" s="238" t="s">
        <v>106</v>
      </c>
      <c r="C49" s="239">
        <f>C47+C48</f>
        <v>23206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17.072118937775294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98.285714285714292</v>
      </c>
    </row>
    <row r="55" spans="1:5" ht="14.1" customHeight="1" x14ac:dyDescent="0.25">
      <c r="A55" s="264"/>
      <c r="B55" s="312" t="s">
        <v>134</v>
      </c>
      <c r="C55" s="313">
        <f>Pool!AJ58</f>
        <v>91.285714285714292</v>
      </c>
    </row>
    <row r="56" spans="1:5" ht="14.1" customHeight="1" x14ac:dyDescent="0.25">
      <c r="B56" s="312" t="s">
        <v>136</v>
      </c>
      <c r="C56" s="313">
        <f>Pool!AJ59</f>
        <v>77.857142857142861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16" sqref="F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2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June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1254.3000000000002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111214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476.89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13260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28.56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254.88999999999965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126488.64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40422.269999999982</v>
      </c>
    </row>
    <row r="14" spans="1:5" x14ac:dyDescent="0.25">
      <c r="A14" s="129" t="s">
        <v>60</v>
      </c>
      <c r="B14" s="130" t="s">
        <v>94</v>
      </c>
      <c r="C14" s="131">
        <f>'Box Canon'!AM20</f>
        <v>2003.79</v>
      </c>
    </row>
    <row r="15" spans="1:5" x14ac:dyDescent="0.25">
      <c r="A15" s="129" t="s">
        <v>60</v>
      </c>
      <c r="B15" s="130" t="s">
        <v>93</v>
      </c>
      <c r="C15" s="131">
        <f>'Box Canon'!AL21</f>
        <v>65699.900000000009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15533.890000000003</v>
      </c>
    </row>
    <row r="17" spans="1:4" x14ac:dyDescent="0.25">
      <c r="A17" s="129" t="s">
        <v>60</v>
      </c>
      <c r="B17" s="130" t="s">
        <v>207</v>
      </c>
      <c r="C17" s="131">
        <f>'Box Canon'!AL22</f>
        <v>316.83999999999997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2511.9500000000003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126488.63999999998</v>
      </c>
    </row>
    <row r="23" spans="1:4" ht="15.75" thickBot="1" x14ac:dyDescent="0.3"/>
    <row r="24" spans="1:4" x14ac:dyDescent="0.25">
      <c r="B24" s="535" t="s">
        <v>57</v>
      </c>
      <c r="C24" s="536"/>
    </row>
    <row r="25" spans="1:4" x14ac:dyDescent="0.25">
      <c r="B25" s="143" t="s">
        <v>75</v>
      </c>
      <c r="C25" s="145">
        <f>'Box Canon'!AJ32</f>
        <v>10835</v>
      </c>
    </row>
    <row r="26" spans="1:4" x14ac:dyDescent="0.25">
      <c r="B26" s="143" t="s">
        <v>74</v>
      </c>
      <c r="C26" s="145">
        <f>'Box Canon'!AJ33</f>
        <v>3817</v>
      </c>
    </row>
    <row r="27" spans="1:4" x14ac:dyDescent="0.25">
      <c r="B27" s="143" t="s">
        <v>199</v>
      </c>
      <c r="C27" s="145">
        <f>'Box Canon'!AJ34</f>
        <v>263</v>
      </c>
    </row>
    <row r="28" spans="1:4" x14ac:dyDescent="0.25">
      <c r="B28" s="143" t="s">
        <v>72</v>
      </c>
      <c r="C28" s="145">
        <f>'Box Canon'!AJ35</f>
        <v>143</v>
      </c>
    </row>
    <row r="29" spans="1:4" x14ac:dyDescent="0.25">
      <c r="B29" s="143" t="s">
        <v>73</v>
      </c>
      <c r="C29" s="145">
        <f>'Box Canon'!AJ36</f>
        <v>2597</v>
      </c>
    </row>
    <row r="30" spans="1:4" x14ac:dyDescent="0.25">
      <c r="B30" s="143" t="s">
        <v>71</v>
      </c>
      <c r="C30" s="145">
        <f>'Box Canon'!AJ37</f>
        <v>499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18154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N10" sqref="N10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June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219.23999999999995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2520.5200000000004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2739.76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624.91000000000008</v>
      </c>
    </row>
    <row r="11" spans="1:5" x14ac:dyDescent="0.25">
      <c r="A11" s="129" t="s">
        <v>60</v>
      </c>
      <c r="B11" s="130" t="s">
        <v>219</v>
      </c>
      <c r="C11" s="131">
        <f>'Visitor Center'!AM7</f>
        <v>49.199999999999996</v>
      </c>
    </row>
    <row r="12" spans="1:5" x14ac:dyDescent="0.25">
      <c r="A12" s="129" t="s">
        <v>60</v>
      </c>
      <c r="B12" s="130" t="s">
        <v>220</v>
      </c>
      <c r="C12" s="131">
        <f>'Visitor Center'!AL8</f>
        <v>1531.8500000000001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471.76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62.040000000000006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2739.76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2023-07-07T18:07:57Z</cp:lastPrinted>
  <dcterms:created xsi:type="dcterms:W3CDTF">2017-08-14T15:26:56Z</dcterms:created>
  <dcterms:modified xsi:type="dcterms:W3CDTF">2023-07-18T16:13:22Z</dcterms:modified>
</cp:coreProperties>
</file>