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- Accounts Payable\DIJ\2022\"/>
    </mc:Choice>
  </mc:AlternateContent>
  <bookViews>
    <workbookView xWindow="0" yWindow="0" windowWidth="20490" windowHeight="8340" activeTab="4"/>
  </bookViews>
  <sheets>
    <sheet name="Cash Flow" sheetId="2" r:id="rId1"/>
    <sheet name="Pool" sheetId="3" r:id="rId2"/>
    <sheet name="Pool Stats" sheetId="8" r:id="rId3"/>
    <sheet name="Visitor Center" sheetId="10" r:id="rId4"/>
    <sheet name="Box Canon" sheetId="9" r:id="rId5"/>
    <sheet name="Visitor Center JE" sheetId="11" r:id="rId6"/>
    <sheet name="Box Cañon JE" sheetId="7" r:id="rId7"/>
    <sheet name="POOL JE" sheetId="5" r:id="rId8"/>
  </sheets>
  <externalReferences>
    <externalReference r:id="rId9"/>
  </externalReferences>
  <definedNames>
    <definedName name="_xlnm.Print_Area" localSheetId="4">'Box Canon'!$A$2:$AH$46</definedName>
    <definedName name="_xlnm.Print_Area" localSheetId="6">'Box Cañon JE'!$A$1:$D$33</definedName>
    <definedName name="_xlnm.Print_Area" localSheetId="1">Pool!$A$1:$AH$53</definedName>
    <definedName name="_xlnm.Print_Area" localSheetId="7">'POOL JE'!$A$1:$C$60</definedName>
    <definedName name="_xlnm.Print_Area" localSheetId="3">'Visitor Center'!$A$1:$AH$14</definedName>
    <definedName name="_xlnm.Print_Area" localSheetId="5">'Visitor Center JE'!$A$1:$D$19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E46" i="3" l="1"/>
  <c r="D51" i="3" l="1"/>
  <c r="G51" i="3"/>
  <c r="L51" i="3"/>
  <c r="AG51" i="3"/>
  <c r="D49" i="3"/>
  <c r="E49" i="3"/>
  <c r="E51" i="3" s="1"/>
  <c r="F49" i="3"/>
  <c r="F51" i="3" s="1"/>
  <c r="G49" i="3"/>
  <c r="H49" i="3"/>
  <c r="H51" i="3" s="1"/>
  <c r="I49" i="3"/>
  <c r="I51" i="3" s="1"/>
  <c r="J49" i="3"/>
  <c r="J51" i="3" s="1"/>
  <c r="K49" i="3"/>
  <c r="K51" i="3" s="1"/>
  <c r="L49" i="3"/>
  <c r="M49" i="3"/>
  <c r="M51" i="3" s="1"/>
  <c r="N49" i="3"/>
  <c r="N51" i="3" s="1"/>
  <c r="O49" i="3"/>
  <c r="O51" i="3" s="1"/>
  <c r="P49" i="3"/>
  <c r="P51" i="3" s="1"/>
  <c r="Q49" i="3"/>
  <c r="Q51" i="3" s="1"/>
  <c r="R49" i="3"/>
  <c r="R51" i="3" s="1"/>
  <c r="S49" i="3"/>
  <c r="S51" i="3" s="1"/>
  <c r="T49" i="3"/>
  <c r="T51" i="3" s="1"/>
  <c r="U49" i="3"/>
  <c r="U51" i="3" s="1"/>
  <c r="V49" i="3"/>
  <c r="V51" i="3" s="1"/>
  <c r="W49" i="3"/>
  <c r="W51" i="3" s="1"/>
  <c r="X49" i="3"/>
  <c r="X51" i="3" s="1"/>
  <c r="Y49" i="3"/>
  <c r="Y51" i="3" s="1"/>
  <c r="Z49" i="3"/>
  <c r="Z51" i="3" s="1"/>
  <c r="AA49" i="3"/>
  <c r="AA51" i="3" s="1"/>
  <c r="AB49" i="3"/>
  <c r="AB51" i="3" s="1"/>
  <c r="AC49" i="3"/>
  <c r="AC51" i="3" s="1"/>
  <c r="AD49" i="3"/>
  <c r="AD51" i="3" s="1"/>
  <c r="AE49" i="3"/>
  <c r="AE51" i="3" s="1"/>
  <c r="AF49" i="3"/>
  <c r="AF51" i="3" s="1"/>
  <c r="D53" i="3"/>
  <c r="E53" i="3"/>
  <c r="F53" i="3"/>
  <c r="G53" i="3"/>
  <c r="H53" i="3"/>
  <c r="I53" i="3"/>
  <c r="J53" i="3"/>
  <c r="K53" i="3"/>
  <c r="L53" i="3"/>
  <c r="M53" i="3"/>
  <c r="N53" i="3"/>
  <c r="O53" i="3"/>
  <c r="P53" i="3"/>
  <c r="Q53" i="3"/>
  <c r="R53" i="3"/>
  <c r="S53" i="3"/>
  <c r="T53" i="3"/>
  <c r="U53" i="3"/>
  <c r="V53" i="3"/>
  <c r="W53" i="3"/>
  <c r="X53" i="3"/>
  <c r="Y53" i="3"/>
  <c r="Z53" i="3"/>
  <c r="AA53" i="3"/>
  <c r="AB53" i="3"/>
  <c r="AC53" i="3"/>
  <c r="AD53" i="3"/>
  <c r="AE53" i="3"/>
  <c r="AF53" i="3"/>
  <c r="C53" i="3"/>
  <c r="C6" i="11" l="1"/>
  <c r="AL7" i="10"/>
  <c r="AM7" i="10"/>
  <c r="AL20" i="9"/>
  <c r="AM20" i="9"/>
  <c r="AL32" i="3"/>
  <c r="AM32" i="3"/>
  <c r="AF44" i="9" l="1"/>
  <c r="AF43" i="9"/>
  <c r="AF40" i="9"/>
  <c r="AF39" i="9"/>
  <c r="AE44" i="9"/>
  <c r="AE43" i="9"/>
  <c r="AE40" i="9"/>
  <c r="AE39" i="9"/>
  <c r="AE36" i="9"/>
  <c r="AE32" i="9"/>
  <c r="AE4" i="9"/>
  <c r="AC44" i="9"/>
  <c r="AC43" i="9"/>
  <c r="AC41" i="9"/>
  <c r="AC40" i="9"/>
  <c r="AC39" i="9"/>
  <c r="AC18" i="9"/>
  <c r="AB44" i="9"/>
  <c r="AB43" i="9"/>
  <c r="AB41" i="9"/>
  <c r="AB40" i="9"/>
  <c r="AB39" i="9"/>
  <c r="AM29" i="9"/>
  <c r="AM21" i="9" s="1"/>
  <c r="AL29" i="9"/>
  <c r="AL21" i="9"/>
  <c r="AM8" i="10"/>
  <c r="AL8" i="10"/>
  <c r="AM13" i="10"/>
  <c r="AL13" i="10"/>
  <c r="AM33" i="3"/>
  <c r="AL33" i="3"/>
  <c r="AM44" i="3"/>
  <c r="AL44" i="3"/>
  <c r="AA44" i="9" l="1"/>
  <c r="AA43" i="9"/>
  <c r="AA41" i="9"/>
  <c r="AA40" i="9"/>
  <c r="AA39" i="9"/>
  <c r="Z44" i="9"/>
  <c r="Z43" i="9"/>
  <c r="Z41" i="9"/>
  <c r="Z40" i="9"/>
  <c r="Z39" i="9"/>
  <c r="Z32" i="9"/>
  <c r="Z4" i="9"/>
  <c r="Y44" i="9"/>
  <c r="Y43" i="9"/>
  <c r="Y40" i="9"/>
  <c r="Y39" i="9"/>
  <c r="X44" i="9"/>
  <c r="X43" i="9"/>
  <c r="X41" i="9"/>
  <c r="X40" i="9"/>
  <c r="X39" i="9"/>
  <c r="W44" i="9"/>
  <c r="W43" i="9"/>
  <c r="W40" i="9"/>
  <c r="W39" i="9"/>
  <c r="V44" i="9"/>
  <c r="V43" i="9"/>
  <c r="V41" i="9"/>
  <c r="V40" i="9"/>
  <c r="V39" i="9"/>
  <c r="U44" i="9"/>
  <c r="U43" i="9"/>
  <c r="U41" i="9"/>
  <c r="U40" i="9"/>
  <c r="U39" i="9"/>
  <c r="AL22" i="9" l="1"/>
  <c r="AH22" i="9"/>
  <c r="C1" i="10" l="1" a="1"/>
  <c r="AG1" i="10" s="1"/>
  <c r="I1" i="10" l="1"/>
  <c r="Q1" i="10"/>
  <c r="Y1" i="10"/>
  <c r="J1" i="10"/>
  <c r="R1" i="10"/>
  <c r="Z1" i="10"/>
  <c r="C1" i="10"/>
  <c r="K1" i="10"/>
  <c r="S1" i="10"/>
  <c r="AA1" i="10"/>
  <c r="D1" i="10"/>
  <c r="L1" i="10"/>
  <c r="T1" i="10"/>
  <c r="AB1" i="10"/>
  <c r="E1" i="10"/>
  <c r="M1" i="10"/>
  <c r="U1" i="10"/>
  <c r="AC1" i="10"/>
  <c r="F1" i="10"/>
  <c r="N1" i="10"/>
  <c r="V1" i="10"/>
  <c r="AD1" i="10"/>
  <c r="G1" i="10"/>
  <c r="O1" i="10"/>
  <c r="W1" i="10"/>
  <c r="AE1" i="10"/>
  <c r="H1" i="10"/>
  <c r="P1" i="10"/>
  <c r="X1" i="10"/>
  <c r="AF1" i="10"/>
  <c r="P38" i="3" l="1"/>
  <c r="T44" i="9"/>
  <c r="T43" i="9"/>
  <c r="T41" i="9"/>
  <c r="T40" i="9"/>
  <c r="T39" i="9"/>
  <c r="S44" i="9"/>
  <c r="S43" i="9"/>
  <c r="S41" i="9"/>
  <c r="S40" i="9"/>
  <c r="S39" i="9"/>
  <c r="S32" i="9"/>
  <c r="S4" i="9"/>
  <c r="R44" i="9"/>
  <c r="R43" i="9"/>
  <c r="R40" i="9"/>
  <c r="R39" i="9"/>
  <c r="Q44" i="9"/>
  <c r="Q43" i="9"/>
  <c r="Q41" i="9"/>
  <c r="Q40" i="9"/>
  <c r="Q39" i="9"/>
  <c r="P44" i="9"/>
  <c r="P43" i="9"/>
  <c r="P40" i="9"/>
  <c r="P39" i="9"/>
  <c r="O44" i="9"/>
  <c r="O43" i="9"/>
  <c r="O40" i="9"/>
  <c r="O39" i="9"/>
  <c r="O32" i="9"/>
  <c r="O4" i="9"/>
  <c r="N44" i="9"/>
  <c r="N43" i="9"/>
  <c r="N41" i="9"/>
  <c r="N40" i="9"/>
  <c r="N39" i="9"/>
  <c r="N18" i="9"/>
  <c r="M44" i="9" l="1"/>
  <c r="M43" i="9"/>
  <c r="M41" i="9"/>
  <c r="M40" i="9"/>
  <c r="M39" i="9"/>
  <c r="L44" i="9"/>
  <c r="L43" i="9"/>
  <c r="L41" i="9"/>
  <c r="L40" i="9"/>
  <c r="L39" i="9"/>
  <c r="K44" i="9"/>
  <c r="K43" i="9"/>
  <c r="K40" i="9"/>
  <c r="K39" i="9"/>
  <c r="J44" i="9" l="1"/>
  <c r="J43" i="9"/>
  <c r="J41" i="9"/>
  <c r="J40" i="9"/>
  <c r="J39" i="9"/>
  <c r="I44" i="9"/>
  <c r="I43" i="9"/>
  <c r="I39" i="9"/>
  <c r="H44" i="9"/>
  <c r="H43" i="9"/>
  <c r="H41" i="9"/>
  <c r="H40" i="9"/>
  <c r="H39" i="9"/>
  <c r="G43" i="9" l="1"/>
  <c r="G40" i="9"/>
  <c r="G39" i="9"/>
  <c r="F44" i="9"/>
  <c r="F43" i="9"/>
  <c r="F41" i="9"/>
  <c r="F40" i="9"/>
  <c r="F39" i="9"/>
  <c r="E41" i="9"/>
  <c r="E44" i="9"/>
  <c r="E43" i="9"/>
  <c r="E40" i="9"/>
  <c r="E39" i="9"/>
  <c r="D44" i="9"/>
  <c r="D43" i="9"/>
  <c r="D40" i="9"/>
  <c r="D39" i="9"/>
  <c r="D26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C24" i="9"/>
  <c r="C44" i="9"/>
  <c r="C43" i="9"/>
  <c r="C41" i="9"/>
  <c r="C40" i="9"/>
  <c r="C39" i="9"/>
  <c r="AL34" i="3" l="1"/>
  <c r="AM34" i="3"/>
  <c r="AH8" i="3"/>
  <c r="AH7" i="3"/>
  <c r="C2" i="10"/>
  <c r="D2" i="10" s="1"/>
  <c r="E2" i="10" s="1"/>
  <c r="F2" i="10" s="1"/>
  <c r="G2" i="10" s="1"/>
  <c r="H2" i="10" s="1"/>
  <c r="I2" i="10" s="1"/>
  <c r="J2" i="10" s="1"/>
  <c r="K2" i="10" s="1"/>
  <c r="L2" i="10" s="1"/>
  <c r="M2" i="10" s="1"/>
  <c r="N2" i="10" s="1"/>
  <c r="O2" i="10" s="1"/>
  <c r="P2" i="10" s="1"/>
  <c r="Q2" i="10" s="1"/>
  <c r="R2" i="10" s="1"/>
  <c r="S2" i="10" s="1"/>
  <c r="T2" i="10" s="1"/>
  <c r="U2" i="10" s="1"/>
  <c r="V2" i="10" s="1"/>
  <c r="W2" i="10" s="1"/>
  <c r="X2" i="10" s="1"/>
  <c r="Y2" i="10" s="1"/>
  <c r="Z2" i="10" s="1"/>
  <c r="AA2" i="10" s="1"/>
  <c r="AB2" i="10" s="1"/>
  <c r="AC2" i="10" s="1"/>
  <c r="AD2" i="10" s="1"/>
  <c r="AE2" i="10" s="1"/>
  <c r="AF2" i="10" s="1"/>
  <c r="AG2" i="10" s="1"/>
  <c r="C11" i="11"/>
  <c r="C10" i="11"/>
  <c r="C15" i="11"/>
  <c r="B1" i="11"/>
  <c r="B1" i="10"/>
  <c r="AH13" i="10"/>
  <c r="AG11" i="10"/>
  <c r="AF11" i="10"/>
  <c r="AE11" i="10"/>
  <c r="AD11" i="10"/>
  <c r="AC11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K11" i="10"/>
  <c r="J11" i="10"/>
  <c r="I11" i="10"/>
  <c r="H11" i="10"/>
  <c r="G11" i="10"/>
  <c r="F11" i="10"/>
  <c r="E11" i="10"/>
  <c r="D11" i="10"/>
  <c r="C11" i="10"/>
  <c r="AG9" i="10"/>
  <c r="AF9" i="10"/>
  <c r="AE9" i="10"/>
  <c r="AD9" i="10"/>
  <c r="AC9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K9" i="10"/>
  <c r="J9" i="10"/>
  <c r="I9" i="10"/>
  <c r="H9" i="10"/>
  <c r="G9" i="10"/>
  <c r="F9" i="10"/>
  <c r="E9" i="10"/>
  <c r="D9" i="10"/>
  <c r="C9" i="10"/>
  <c r="AH8" i="10"/>
  <c r="AH7" i="10"/>
  <c r="AH5" i="10"/>
  <c r="AG5" i="10"/>
  <c r="AF5" i="10"/>
  <c r="AE5" i="10"/>
  <c r="AD5" i="10"/>
  <c r="AC5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K5" i="10"/>
  <c r="J5" i="10"/>
  <c r="I5" i="10"/>
  <c r="H5" i="10"/>
  <c r="G5" i="10"/>
  <c r="F5" i="10"/>
  <c r="E5" i="10"/>
  <c r="D5" i="10"/>
  <c r="C5" i="10"/>
  <c r="AH4" i="10"/>
  <c r="C4" i="11" s="1"/>
  <c r="AH3" i="10"/>
  <c r="C3" i="11" s="1"/>
  <c r="C13" i="11" l="1"/>
  <c r="C12" i="11"/>
  <c r="C6" i="5"/>
  <c r="C14" i="11"/>
  <c r="AH9" i="10"/>
  <c r="AH11" i="10"/>
  <c r="AL11" i="10" s="1"/>
  <c r="D8" i="11" s="1"/>
  <c r="E12" i="11" s="1"/>
  <c r="AL9" i="10" l="1"/>
  <c r="AN9" i="10" s="1"/>
  <c r="D17" i="11"/>
  <c r="AM12" i="10" l="1"/>
  <c r="AN12" i="10" s="1"/>
  <c r="C18" i="7"/>
  <c r="AM22" i="9"/>
  <c r="C17" i="7"/>
  <c r="C19" i="7" l="1"/>
  <c r="C20" i="7"/>
  <c r="AH29" i="9" l="1"/>
  <c r="D41" i="9" l="1"/>
  <c r="G41" i="9"/>
  <c r="K41" i="9"/>
  <c r="O41" i="9"/>
  <c r="AE41" i="9"/>
  <c r="AF41" i="9"/>
  <c r="AG41" i="9"/>
  <c r="D34" i="9"/>
  <c r="K34" i="9"/>
  <c r="O34" i="9"/>
  <c r="P34" i="9"/>
  <c r="R34" i="9"/>
  <c r="W34" i="9"/>
  <c r="Y34" i="9"/>
  <c r="AF34" i="9"/>
  <c r="AG34" i="9"/>
  <c r="AG33" i="9"/>
  <c r="AH34" i="9" l="1"/>
  <c r="AH41" i="9"/>
  <c r="AH44" i="3"/>
  <c r="AJ34" i="9" l="1"/>
  <c r="C27" i="7" s="1"/>
  <c r="C41" i="5"/>
  <c r="C42" i="5"/>
  <c r="B1" i="9" l="1"/>
  <c r="I38" i="2" l="1"/>
  <c r="I37" i="2"/>
  <c r="I36" i="2"/>
  <c r="I35" i="2"/>
  <c r="I34" i="2"/>
  <c r="I33" i="2"/>
  <c r="I32" i="2"/>
  <c r="I31" i="2"/>
  <c r="I30" i="2"/>
  <c r="I29" i="2"/>
  <c r="I28" i="2"/>
  <c r="I27" i="2"/>
  <c r="I26" i="2"/>
  <c r="I25" i="2"/>
  <c r="I24" i="2"/>
  <c r="I23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39" i="3" l="1"/>
  <c r="E39" i="3"/>
  <c r="F39" i="3"/>
  <c r="G39" i="3"/>
  <c r="H39" i="3"/>
  <c r="I39" i="3"/>
  <c r="J39" i="3"/>
  <c r="K39" i="3"/>
  <c r="L39" i="3"/>
  <c r="M39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C39" i="3"/>
  <c r="C16" i="7" l="1"/>
  <c r="C15" i="7"/>
  <c r="C14" i="7"/>
  <c r="C13" i="7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C15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C14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C8" i="9"/>
  <c r="AG44" i="9" l="1"/>
  <c r="AG43" i="9"/>
  <c r="AG42" i="9"/>
  <c r="AF42" i="9"/>
  <c r="AE42" i="9"/>
  <c r="AD42" i="9"/>
  <c r="AC42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O42" i="9"/>
  <c r="N42" i="9"/>
  <c r="M42" i="9"/>
  <c r="L42" i="9"/>
  <c r="K42" i="9"/>
  <c r="J42" i="9"/>
  <c r="I42" i="9"/>
  <c r="H42" i="9"/>
  <c r="G42" i="9"/>
  <c r="D42" i="9"/>
  <c r="C42" i="9"/>
  <c r="AG40" i="9"/>
  <c r="AG39" i="9"/>
  <c r="AG32" i="9"/>
  <c r="D35" i="9"/>
  <c r="E35" i="9"/>
  <c r="F35" i="9"/>
  <c r="G35" i="9"/>
  <c r="H35" i="9"/>
  <c r="I35" i="9"/>
  <c r="J35" i="9"/>
  <c r="K35" i="9"/>
  <c r="L35" i="9"/>
  <c r="M35" i="9"/>
  <c r="N35" i="9"/>
  <c r="P35" i="9"/>
  <c r="Q35" i="9"/>
  <c r="S35" i="9"/>
  <c r="T35" i="9"/>
  <c r="U35" i="9"/>
  <c r="V35" i="9"/>
  <c r="W35" i="9"/>
  <c r="X35" i="9"/>
  <c r="Y35" i="9"/>
  <c r="Z35" i="9"/>
  <c r="AA35" i="9"/>
  <c r="AC35" i="9"/>
  <c r="AD35" i="9"/>
  <c r="AE35" i="9"/>
  <c r="AF35" i="9"/>
  <c r="AG35" i="9"/>
  <c r="AG36" i="9"/>
  <c r="AG37" i="9"/>
  <c r="C35" i="9"/>
  <c r="C2" i="9"/>
  <c r="D2" i="9" s="1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3" i="9"/>
  <c r="AH4" i="9"/>
  <c r="AH5" i="9"/>
  <c r="AH6" i="9"/>
  <c r="AH7" i="9"/>
  <c r="AH9" i="9"/>
  <c r="AH10" i="9"/>
  <c r="AH11" i="9"/>
  <c r="AH12" i="9"/>
  <c r="AH13" i="9"/>
  <c r="AH14" i="9"/>
  <c r="A18" i="9"/>
  <c r="T26" i="9"/>
  <c r="X26" i="9"/>
  <c r="AB26" i="9"/>
  <c r="AF26" i="9"/>
  <c r="AH18" i="9"/>
  <c r="A19" i="9"/>
  <c r="T27" i="9"/>
  <c r="V27" i="9"/>
  <c r="X27" i="9"/>
  <c r="Z27" i="9"/>
  <c r="AB27" i="9"/>
  <c r="AD27" i="9"/>
  <c r="AF27" i="9"/>
  <c r="AH19" i="9"/>
  <c r="A20" i="9"/>
  <c r="AH20" i="9"/>
  <c r="A21" i="9"/>
  <c r="AH21" i="9"/>
  <c r="AH23" i="9"/>
  <c r="AG24" i="9"/>
  <c r="C26" i="9"/>
  <c r="E26" i="9"/>
  <c r="G26" i="9"/>
  <c r="I26" i="9"/>
  <c r="K26" i="9"/>
  <c r="M26" i="9"/>
  <c r="O26" i="9"/>
  <c r="Q26" i="9"/>
  <c r="S26" i="9"/>
  <c r="U26" i="9"/>
  <c r="W26" i="9"/>
  <c r="Y26" i="9"/>
  <c r="AA26" i="9"/>
  <c r="AC26" i="9"/>
  <c r="AE26" i="9"/>
  <c r="AG26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U27" i="9"/>
  <c r="W27" i="9"/>
  <c r="Y27" i="9"/>
  <c r="AA27" i="9"/>
  <c r="AC27" i="9"/>
  <c r="AE27" i="9"/>
  <c r="AG27" i="9"/>
  <c r="Y38" i="9" l="1"/>
  <c r="C6" i="7"/>
  <c r="C3" i="7"/>
  <c r="J38" i="9"/>
  <c r="K38" i="9"/>
  <c r="C38" i="9"/>
  <c r="X45" i="9"/>
  <c r="P45" i="9"/>
  <c r="AF45" i="9"/>
  <c r="H45" i="9"/>
  <c r="D45" i="9"/>
  <c r="G46" i="9"/>
  <c r="R38" i="9"/>
  <c r="I45" i="9"/>
  <c r="Q45" i="9"/>
  <c r="AA38" i="9"/>
  <c r="AG38" i="9"/>
  <c r="Q38" i="9"/>
  <c r="AE38" i="9"/>
  <c r="W46" i="9"/>
  <c r="O38" i="9"/>
  <c r="G38" i="9"/>
  <c r="AC38" i="9"/>
  <c r="U38" i="9"/>
  <c r="M38" i="9"/>
  <c r="E38" i="9"/>
  <c r="AH42" i="9"/>
  <c r="S38" i="9"/>
  <c r="Z38" i="9"/>
  <c r="AH35" i="9"/>
  <c r="N38" i="9"/>
  <c r="F38" i="9"/>
  <c r="D38" i="9"/>
  <c r="L45" i="9"/>
  <c r="T45" i="9"/>
  <c r="AB45" i="9"/>
  <c r="I38" i="9"/>
  <c r="W38" i="9"/>
  <c r="AH40" i="9"/>
  <c r="AD45" i="9"/>
  <c r="O46" i="9"/>
  <c r="C4" i="7"/>
  <c r="L38" i="9"/>
  <c r="AD38" i="9"/>
  <c r="V38" i="9"/>
  <c r="AB38" i="9"/>
  <c r="U46" i="9"/>
  <c r="AA46" i="9"/>
  <c r="F45" i="9"/>
  <c r="C7" i="7"/>
  <c r="P38" i="9"/>
  <c r="H38" i="9"/>
  <c r="AC45" i="9"/>
  <c r="N46" i="9"/>
  <c r="AH39" i="9"/>
  <c r="S46" i="9"/>
  <c r="E45" i="9"/>
  <c r="V45" i="9"/>
  <c r="AE46" i="9"/>
  <c r="AF38" i="9"/>
  <c r="X38" i="9"/>
  <c r="G45" i="9"/>
  <c r="O45" i="9"/>
  <c r="W45" i="9"/>
  <c r="AE45" i="9"/>
  <c r="Y45" i="9"/>
  <c r="AG45" i="9"/>
  <c r="J45" i="9"/>
  <c r="R45" i="9"/>
  <c r="Z46" i="9"/>
  <c r="AH44" i="9"/>
  <c r="K46" i="9"/>
  <c r="M46" i="9"/>
  <c r="N45" i="9"/>
  <c r="C5" i="7"/>
  <c r="C45" i="9"/>
  <c r="AC46" i="9"/>
  <c r="E46" i="9"/>
  <c r="AA45" i="9"/>
  <c r="AG46" i="9"/>
  <c r="Y46" i="9"/>
  <c r="Q46" i="9"/>
  <c r="I46" i="9"/>
  <c r="U45" i="9"/>
  <c r="M45" i="9"/>
  <c r="AH43" i="9"/>
  <c r="V46" i="9"/>
  <c r="P46" i="9"/>
  <c r="L46" i="9"/>
  <c r="H46" i="9"/>
  <c r="D46" i="9"/>
  <c r="S45" i="9"/>
  <c r="AD46" i="9"/>
  <c r="R46" i="9"/>
  <c r="J46" i="9"/>
  <c r="F46" i="9"/>
  <c r="K45" i="9"/>
  <c r="C46" i="9"/>
  <c r="Z45" i="9"/>
  <c r="AH37" i="9"/>
  <c r="AH36" i="9"/>
  <c r="AH32" i="9"/>
  <c r="AH27" i="9"/>
  <c r="AH15" i="9"/>
  <c r="AH8" i="9"/>
  <c r="AF46" i="9"/>
  <c r="AB46" i="9"/>
  <c r="X46" i="9"/>
  <c r="T46" i="9"/>
  <c r="AH33" i="9"/>
  <c r="AD26" i="9"/>
  <c r="Z26" i="9"/>
  <c r="V26" i="9"/>
  <c r="R26" i="9"/>
  <c r="N26" i="9"/>
  <c r="J26" i="9"/>
  <c r="F26" i="9"/>
  <c r="T38" i="9"/>
  <c r="P26" i="9"/>
  <c r="L26" i="9"/>
  <c r="H26" i="9"/>
  <c r="AJ32" i="9" l="1"/>
  <c r="C25" i="7" s="1"/>
  <c r="AH46" i="9"/>
  <c r="AJ46" i="9" s="1"/>
  <c r="AJ35" i="9"/>
  <c r="C28" i="7" s="1"/>
  <c r="AH38" i="9"/>
  <c r="AH45" i="9"/>
  <c r="AJ37" i="9"/>
  <c r="C30" i="7" s="1"/>
  <c r="AJ36" i="9"/>
  <c r="C29" i="7" s="1"/>
  <c r="AJ33" i="9"/>
  <c r="C26" i="7" s="1"/>
  <c r="AH24" i="9"/>
  <c r="AH26" i="9"/>
  <c r="C9" i="7" l="1"/>
  <c r="AL24" i="9"/>
  <c r="AL25" i="9" s="1"/>
  <c r="AN25" i="9" s="1"/>
  <c r="C32" i="7"/>
  <c r="AH19" i="3" l="1"/>
  <c r="C15" i="5" s="1"/>
  <c r="AH9" i="3"/>
  <c r="C7" i="5" s="1"/>
  <c r="AH10" i="3"/>
  <c r="C8" i="5" s="1"/>
  <c r="AH11" i="3"/>
  <c r="C26" i="5" s="1"/>
  <c r="AH12" i="3"/>
  <c r="C27" i="5" s="1"/>
  <c r="AH13" i="3"/>
  <c r="C28" i="5" s="1"/>
  <c r="B1" i="3" l="1"/>
  <c r="AH28" i="3" l="1"/>
  <c r="AG53" i="3" l="1"/>
  <c r="AH6" i="3" l="1"/>
  <c r="M2" i="8" l="1" a="1"/>
  <c r="M5" i="8" s="1"/>
  <c r="L2" i="8" a="1"/>
  <c r="L3" i="8" s="1"/>
  <c r="K2" i="8" a="1"/>
  <c r="K4" i="8" s="1"/>
  <c r="I2" i="8" a="1"/>
  <c r="I5" i="8" s="1"/>
  <c r="H2" i="8" a="1"/>
  <c r="H5" i="8" s="1"/>
  <c r="G2" i="8" a="1"/>
  <c r="G5" i="8" s="1"/>
  <c r="F2" i="8" a="1"/>
  <c r="F5" i="8" s="1"/>
  <c r="E2" i="8" a="1"/>
  <c r="E5" i="8" s="1"/>
  <c r="D2" i="8" a="1"/>
  <c r="D2" i="8" s="1"/>
  <c r="C2" i="8" a="1"/>
  <c r="C4" i="8" s="1"/>
  <c r="M32" i="8" l="1"/>
  <c r="M28" i="8"/>
  <c r="M24" i="8"/>
  <c r="M20" i="8"/>
  <c r="M16" i="8"/>
  <c r="M12" i="8"/>
  <c r="M8" i="8"/>
  <c r="M4" i="8"/>
  <c r="M31" i="8"/>
  <c r="M27" i="8"/>
  <c r="M23" i="8"/>
  <c r="M19" i="8"/>
  <c r="M15" i="8"/>
  <c r="M11" i="8"/>
  <c r="M7" i="8"/>
  <c r="M3" i="8"/>
  <c r="M30" i="8"/>
  <c r="M26" i="8"/>
  <c r="M22" i="8"/>
  <c r="M18" i="8"/>
  <c r="M14" i="8"/>
  <c r="M10" i="8"/>
  <c r="M6" i="8"/>
  <c r="M2" i="8"/>
  <c r="M29" i="8"/>
  <c r="M25" i="8"/>
  <c r="M21" i="8"/>
  <c r="M17" i="8"/>
  <c r="M13" i="8"/>
  <c r="M9" i="8"/>
  <c r="L32" i="8"/>
  <c r="L28" i="8"/>
  <c r="L24" i="8"/>
  <c r="L20" i="8"/>
  <c r="L16" i="8"/>
  <c r="L12" i="8"/>
  <c r="L8" i="8"/>
  <c r="L4" i="8"/>
  <c r="L30" i="8"/>
  <c r="L26" i="8"/>
  <c r="L22" i="8"/>
  <c r="L18" i="8"/>
  <c r="L14" i="8"/>
  <c r="L10" i="8"/>
  <c r="L6" i="8"/>
  <c r="L2" i="8"/>
  <c r="L29" i="8"/>
  <c r="L25" i="8"/>
  <c r="L21" i="8"/>
  <c r="L17" i="8"/>
  <c r="L13" i="8"/>
  <c r="L9" i="8"/>
  <c r="L5" i="8"/>
  <c r="L31" i="8"/>
  <c r="L27" i="8"/>
  <c r="L23" i="8"/>
  <c r="L19" i="8"/>
  <c r="L15" i="8"/>
  <c r="L11" i="8"/>
  <c r="L7" i="8"/>
  <c r="K31" i="8"/>
  <c r="K27" i="8"/>
  <c r="K23" i="8"/>
  <c r="K19" i="8"/>
  <c r="K15" i="8"/>
  <c r="K11" i="8"/>
  <c r="K7" i="8"/>
  <c r="K3" i="8"/>
  <c r="K30" i="8"/>
  <c r="K26" i="8"/>
  <c r="K22" i="8"/>
  <c r="K18" i="8"/>
  <c r="K14" i="8"/>
  <c r="K10" i="8"/>
  <c r="K6" i="8"/>
  <c r="K2" i="8"/>
  <c r="K29" i="8"/>
  <c r="K25" i="8"/>
  <c r="K21" i="8"/>
  <c r="K17" i="8"/>
  <c r="K13" i="8"/>
  <c r="K9" i="8"/>
  <c r="K5" i="8"/>
  <c r="K32" i="8"/>
  <c r="K28" i="8"/>
  <c r="K24" i="8"/>
  <c r="K20" i="8"/>
  <c r="K16" i="8"/>
  <c r="K12" i="8"/>
  <c r="K8" i="8"/>
  <c r="I32" i="8"/>
  <c r="I28" i="8"/>
  <c r="I24" i="8"/>
  <c r="I20" i="8"/>
  <c r="I16" i="8"/>
  <c r="I12" i="8"/>
  <c r="I8" i="8"/>
  <c r="I4" i="8"/>
  <c r="I31" i="8"/>
  <c r="I27" i="8"/>
  <c r="I23" i="8"/>
  <c r="I19" i="8"/>
  <c r="I15" i="8"/>
  <c r="I11" i="8"/>
  <c r="I7" i="8"/>
  <c r="I3" i="8"/>
  <c r="I30" i="8"/>
  <c r="I26" i="8"/>
  <c r="I22" i="8"/>
  <c r="I18" i="8"/>
  <c r="I14" i="8"/>
  <c r="I10" i="8"/>
  <c r="I6" i="8"/>
  <c r="I2" i="8"/>
  <c r="I29" i="8"/>
  <c r="I25" i="8"/>
  <c r="I21" i="8"/>
  <c r="I17" i="8"/>
  <c r="I13" i="8"/>
  <c r="I9" i="8"/>
  <c r="H32" i="8"/>
  <c r="H28" i="8"/>
  <c r="H24" i="8"/>
  <c r="H20" i="8"/>
  <c r="H16" i="8"/>
  <c r="H12" i="8"/>
  <c r="H8" i="8"/>
  <c r="H4" i="8"/>
  <c r="H31" i="8"/>
  <c r="H27" i="8"/>
  <c r="H23" i="8"/>
  <c r="H19" i="8"/>
  <c r="H15" i="8"/>
  <c r="H11" i="8"/>
  <c r="H7" i="8"/>
  <c r="H3" i="8"/>
  <c r="H30" i="8"/>
  <c r="H26" i="8"/>
  <c r="H22" i="8"/>
  <c r="H18" i="8"/>
  <c r="H14" i="8"/>
  <c r="H10" i="8"/>
  <c r="H6" i="8"/>
  <c r="H2" i="8"/>
  <c r="H29" i="8"/>
  <c r="H25" i="8"/>
  <c r="H21" i="8"/>
  <c r="H17" i="8"/>
  <c r="H13" i="8"/>
  <c r="H9" i="8"/>
  <c r="G32" i="8"/>
  <c r="G28" i="8"/>
  <c r="G24" i="8"/>
  <c r="G20" i="8"/>
  <c r="G16" i="8"/>
  <c r="G12" i="8"/>
  <c r="G8" i="8"/>
  <c r="G4" i="8"/>
  <c r="G31" i="8"/>
  <c r="G27" i="8"/>
  <c r="G23" i="8"/>
  <c r="G19" i="8"/>
  <c r="G15" i="8"/>
  <c r="G11" i="8"/>
  <c r="G7" i="8"/>
  <c r="G3" i="8"/>
  <c r="G30" i="8"/>
  <c r="G26" i="8"/>
  <c r="G22" i="8"/>
  <c r="G18" i="8"/>
  <c r="G14" i="8"/>
  <c r="G10" i="8"/>
  <c r="G6" i="8"/>
  <c r="G2" i="8"/>
  <c r="G29" i="8"/>
  <c r="G25" i="8"/>
  <c r="G21" i="8"/>
  <c r="G17" i="8"/>
  <c r="G13" i="8"/>
  <c r="G9" i="8"/>
  <c r="F32" i="8"/>
  <c r="F28" i="8"/>
  <c r="F24" i="8"/>
  <c r="F20" i="8"/>
  <c r="F16" i="8"/>
  <c r="F12" i="8"/>
  <c r="F8" i="8"/>
  <c r="F4" i="8"/>
  <c r="F31" i="8"/>
  <c r="F27" i="8"/>
  <c r="F23" i="8"/>
  <c r="F19" i="8"/>
  <c r="F15" i="8"/>
  <c r="F11" i="8"/>
  <c r="F7" i="8"/>
  <c r="F3" i="8"/>
  <c r="F30" i="8"/>
  <c r="F26" i="8"/>
  <c r="F22" i="8"/>
  <c r="F18" i="8"/>
  <c r="F14" i="8"/>
  <c r="F10" i="8"/>
  <c r="F6" i="8"/>
  <c r="F2" i="8"/>
  <c r="F29" i="8"/>
  <c r="F25" i="8"/>
  <c r="F21" i="8"/>
  <c r="F17" i="8"/>
  <c r="F13" i="8"/>
  <c r="F9" i="8"/>
  <c r="E32" i="8"/>
  <c r="E28" i="8"/>
  <c r="E24" i="8"/>
  <c r="E20" i="8"/>
  <c r="E16" i="8"/>
  <c r="E12" i="8"/>
  <c r="E8" i="8"/>
  <c r="E4" i="8"/>
  <c r="E31" i="8"/>
  <c r="E27" i="8"/>
  <c r="E23" i="8"/>
  <c r="E19" i="8"/>
  <c r="E15" i="8"/>
  <c r="E11" i="8"/>
  <c r="E7" i="8"/>
  <c r="E3" i="8"/>
  <c r="E30" i="8"/>
  <c r="E26" i="8"/>
  <c r="E22" i="8"/>
  <c r="E18" i="8"/>
  <c r="E14" i="8"/>
  <c r="E10" i="8"/>
  <c r="E6" i="8"/>
  <c r="E2" i="8"/>
  <c r="E29" i="8"/>
  <c r="E25" i="8"/>
  <c r="E21" i="8"/>
  <c r="E17" i="8"/>
  <c r="E13" i="8"/>
  <c r="E9" i="8"/>
  <c r="D32" i="8"/>
  <c r="D28" i="8"/>
  <c r="D24" i="8"/>
  <c r="D20" i="8"/>
  <c r="D16" i="8"/>
  <c r="D12" i="8"/>
  <c r="D8" i="8"/>
  <c r="D4" i="8"/>
  <c r="D29" i="8"/>
  <c r="D25" i="8"/>
  <c r="D21" i="8"/>
  <c r="D17" i="8"/>
  <c r="D13" i="8"/>
  <c r="D9" i="8"/>
  <c r="D5" i="8"/>
  <c r="D31" i="8"/>
  <c r="D27" i="8"/>
  <c r="D23" i="8"/>
  <c r="D19" i="8"/>
  <c r="D15" i="8"/>
  <c r="D11" i="8"/>
  <c r="D7" i="8"/>
  <c r="D3" i="8"/>
  <c r="D30" i="8"/>
  <c r="D26" i="8"/>
  <c r="D22" i="8"/>
  <c r="D18" i="8"/>
  <c r="D14" i="8"/>
  <c r="D10" i="8"/>
  <c r="D6" i="8"/>
  <c r="C31" i="8"/>
  <c r="C27" i="8"/>
  <c r="C23" i="8"/>
  <c r="C19" i="8"/>
  <c r="C15" i="8"/>
  <c r="C11" i="8"/>
  <c r="C7" i="8"/>
  <c r="C3" i="8"/>
  <c r="C30" i="8"/>
  <c r="C26" i="8"/>
  <c r="C22" i="8"/>
  <c r="C18" i="8"/>
  <c r="C14" i="8"/>
  <c r="C10" i="8"/>
  <c r="C6" i="8"/>
  <c r="C2" i="8"/>
  <c r="C29" i="8"/>
  <c r="C25" i="8"/>
  <c r="C21" i="8"/>
  <c r="C17" i="8"/>
  <c r="C13" i="8"/>
  <c r="C9" i="8"/>
  <c r="C5" i="8"/>
  <c r="C32" i="8"/>
  <c r="C28" i="8"/>
  <c r="C24" i="8"/>
  <c r="C20" i="8"/>
  <c r="C16" i="8"/>
  <c r="C12" i="8"/>
  <c r="C8" i="8"/>
  <c r="A2" i="8"/>
  <c r="A3" i="8" s="1"/>
  <c r="B3" i="8" l="1"/>
  <c r="A4" i="8"/>
  <c r="B2" i="8"/>
  <c r="I34" i="8" l="1"/>
  <c r="B4" i="8"/>
  <c r="A5" i="8"/>
  <c r="G34" i="8"/>
  <c r="H34" i="8"/>
  <c r="C34" i="8"/>
  <c r="F34" i="8"/>
  <c r="E34" i="8"/>
  <c r="D34" i="8"/>
  <c r="B5" i="8" l="1"/>
  <c r="A6" i="8"/>
  <c r="B6" i="8" l="1"/>
  <c r="A7" i="8"/>
  <c r="B7" i="8" l="1"/>
  <c r="A8" i="8"/>
  <c r="B8" i="8" l="1"/>
  <c r="A9" i="8"/>
  <c r="B9" i="8" l="1"/>
  <c r="A10" i="8"/>
  <c r="B10" i="8" l="1"/>
  <c r="A11" i="8"/>
  <c r="B11" i="8" l="1"/>
  <c r="A12" i="8"/>
  <c r="B12" i="8" l="1"/>
  <c r="A13" i="8"/>
  <c r="B13" i="8" l="1"/>
  <c r="A14" i="8"/>
  <c r="B14" i="8" l="1"/>
  <c r="A15" i="8"/>
  <c r="B15" i="8" l="1"/>
  <c r="A16" i="8"/>
  <c r="B16" i="8" l="1"/>
  <c r="A17" i="8"/>
  <c r="B17" i="8" l="1"/>
  <c r="A18" i="8"/>
  <c r="B18" i="8" l="1"/>
  <c r="A19" i="8"/>
  <c r="B19" i="8" l="1"/>
  <c r="A20" i="8"/>
  <c r="B20" i="8" l="1"/>
  <c r="A21" i="8"/>
  <c r="B21" i="8" l="1"/>
  <c r="A22" i="8"/>
  <c r="B22" i="8" l="1"/>
  <c r="A23" i="8"/>
  <c r="B23" i="8" l="1"/>
  <c r="A24" i="8"/>
  <c r="B24" i="8" l="1"/>
  <c r="A25" i="8"/>
  <c r="B25" i="8" l="1"/>
  <c r="A26" i="8"/>
  <c r="B26" i="8" l="1"/>
  <c r="A27" i="8"/>
  <c r="B27" i="8" l="1"/>
  <c r="A28" i="8"/>
  <c r="B28" i="8" l="1"/>
  <c r="A29" i="8"/>
  <c r="B29" i="8" l="1"/>
  <c r="A30" i="8"/>
  <c r="B30" i="8" l="1"/>
  <c r="A31" i="8"/>
  <c r="B31" i="8" l="1"/>
  <c r="A32" i="8"/>
  <c r="B32" i="8" s="1"/>
  <c r="AH59" i="3" l="1"/>
  <c r="AJ59" i="3" s="1"/>
  <c r="C60" i="5" s="1"/>
  <c r="AH58" i="3"/>
  <c r="AJ58" i="3" s="1"/>
  <c r="M34" i="8" s="1"/>
  <c r="AH57" i="3"/>
  <c r="AJ57" i="3" s="1"/>
  <c r="L34" i="8" s="1"/>
  <c r="AH56" i="3"/>
  <c r="AJ56" i="3" s="1"/>
  <c r="K34" i="8" s="1"/>
  <c r="C59" i="5" l="1"/>
  <c r="C58" i="5"/>
  <c r="C57" i="5"/>
  <c r="AH29" i="3" l="1"/>
  <c r="C44" i="5" l="1"/>
  <c r="C40" i="5"/>
  <c r="C38" i="5"/>
  <c r="C36" i="5"/>
  <c r="C37" i="5" l="1"/>
  <c r="C35" i="5" l="1"/>
  <c r="AH53" i="3" l="1"/>
  <c r="AJ53" i="3" s="1"/>
  <c r="C54" i="5" s="1"/>
  <c r="B8" i="2"/>
  <c r="B1" i="7" l="1"/>
  <c r="AH16" i="3" l="1"/>
  <c r="C11" i="5" s="1"/>
  <c r="AH17" i="3"/>
  <c r="C12" i="5" s="1"/>
  <c r="AG49" i="3" l="1"/>
  <c r="C49" i="3"/>
  <c r="C51" i="3" s="1"/>
  <c r="O2" i="8" l="1" a="1"/>
  <c r="O27" i="8" s="1"/>
  <c r="G8" i="2" a="1"/>
  <c r="G9" i="2" s="1"/>
  <c r="C8" i="2" a="1"/>
  <c r="C8" i="2" s="1"/>
  <c r="O13" i="8" l="1"/>
  <c r="O15" i="8"/>
  <c r="O17" i="8"/>
  <c r="O19" i="8"/>
  <c r="O6" i="8"/>
  <c r="O8" i="8"/>
  <c r="O10" i="8"/>
  <c r="O12" i="8"/>
  <c r="O29" i="8"/>
  <c r="O31" i="8"/>
  <c r="O2" i="8"/>
  <c r="O4" i="8"/>
  <c r="O22" i="8"/>
  <c r="O24" i="8"/>
  <c r="O26" i="8"/>
  <c r="O28" i="8"/>
  <c r="O14" i="8"/>
  <c r="O16" i="8"/>
  <c r="O18" i="8"/>
  <c r="O20" i="8"/>
  <c r="O7" i="8"/>
  <c r="O9" i="8"/>
  <c r="O11" i="8"/>
  <c r="O5" i="8"/>
  <c r="O30" i="8"/>
  <c r="O32" i="8"/>
  <c r="O3" i="8"/>
  <c r="O21" i="8"/>
  <c r="O23" i="8"/>
  <c r="O25" i="8"/>
  <c r="G38" i="2"/>
  <c r="G34" i="2"/>
  <c r="G30" i="2"/>
  <c r="G26" i="2"/>
  <c r="G22" i="2"/>
  <c r="G18" i="2"/>
  <c r="G14" i="2"/>
  <c r="G10" i="2"/>
  <c r="G36" i="2"/>
  <c r="G32" i="2"/>
  <c r="G28" i="2"/>
  <c r="G24" i="2"/>
  <c r="G20" i="2"/>
  <c r="G16" i="2"/>
  <c r="G12" i="2"/>
  <c r="G8" i="2"/>
  <c r="G35" i="2"/>
  <c r="G31" i="2"/>
  <c r="G27" i="2"/>
  <c r="G23" i="2"/>
  <c r="G19" i="2"/>
  <c r="G15" i="2"/>
  <c r="G11" i="2"/>
  <c r="G37" i="2"/>
  <c r="G33" i="2"/>
  <c r="G29" i="2"/>
  <c r="G25" i="2"/>
  <c r="G21" i="2"/>
  <c r="G17" i="2"/>
  <c r="G13" i="2"/>
  <c r="C38" i="2"/>
  <c r="C34" i="2"/>
  <c r="C30" i="2"/>
  <c r="C26" i="2"/>
  <c r="C22" i="2"/>
  <c r="C18" i="2"/>
  <c r="C14" i="2"/>
  <c r="C10" i="2"/>
  <c r="C35" i="2"/>
  <c r="C31" i="2"/>
  <c r="C27" i="2"/>
  <c r="C23" i="2"/>
  <c r="C19" i="2"/>
  <c r="C15" i="2"/>
  <c r="C11" i="2"/>
  <c r="C37" i="2"/>
  <c r="C33" i="2"/>
  <c r="C29" i="2"/>
  <c r="C25" i="2"/>
  <c r="C21" i="2"/>
  <c r="C17" i="2"/>
  <c r="C13" i="2"/>
  <c r="C9" i="2"/>
  <c r="C36" i="2"/>
  <c r="C32" i="2"/>
  <c r="C28" i="2"/>
  <c r="C24" i="2"/>
  <c r="C20" i="2"/>
  <c r="C16" i="2"/>
  <c r="C12" i="2"/>
  <c r="AH47" i="3"/>
  <c r="AH46" i="3"/>
  <c r="AJ46" i="3" s="1"/>
  <c r="AH39" i="3"/>
  <c r="AH33" i="3"/>
  <c r="AH34" i="3"/>
  <c r="C39" i="5" s="1"/>
  <c r="AH35" i="3"/>
  <c r="AH36" i="3"/>
  <c r="AL36" i="3" s="1"/>
  <c r="AH37" i="3"/>
  <c r="AL37" i="3" s="1"/>
  <c r="C47" i="5" s="1"/>
  <c r="C46" i="5" l="1"/>
  <c r="AL38" i="3"/>
  <c r="AJ47" i="3"/>
  <c r="C51" i="5" s="1"/>
  <c r="C43" i="5"/>
  <c r="O34" i="8"/>
  <c r="C50" i="5"/>
  <c r="C52" i="5" l="1"/>
  <c r="AH51" i="3"/>
  <c r="AJ51" i="3" s="1"/>
  <c r="AH49" i="3"/>
  <c r="AJ49" i="3" s="1"/>
  <c r="AH25" i="3" l="1"/>
  <c r="C20" i="5" s="1"/>
  <c r="B1" i="5" l="1"/>
  <c r="H8" i="2" a="1"/>
  <c r="H9" i="2" s="1"/>
  <c r="H36" i="2" l="1"/>
  <c r="H28" i="2"/>
  <c r="H20" i="2"/>
  <c r="H12" i="2"/>
  <c r="H35" i="2"/>
  <c r="H31" i="2"/>
  <c r="H23" i="2"/>
  <c r="H19" i="2"/>
  <c r="H15" i="2"/>
  <c r="H11" i="2"/>
  <c r="H38" i="2"/>
  <c r="H34" i="2"/>
  <c r="H30" i="2"/>
  <c r="H26" i="2"/>
  <c r="H22" i="2"/>
  <c r="H18" i="2"/>
  <c r="H14" i="2"/>
  <c r="H10" i="2"/>
  <c r="H32" i="2"/>
  <c r="H24" i="2"/>
  <c r="H16" i="2"/>
  <c r="H8" i="2"/>
  <c r="H27" i="2"/>
  <c r="H37" i="2"/>
  <c r="H33" i="2"/>
  <c r="H29" i="2"/>
  <c r="H25" i="2"/>
  <c r="H21" i="2"/>
  <c r="H17" i="2"/>
  <c r="H13" i="2"/>
  <c r="H40" i="2" l="1"/>
  <c r="C2" i="3"/>
  <c r="D2" i="3" l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  <c r="AF2" i="3" s="1"/>
  <c r="AG2" i="3" s="1"/>
  <c r="D42" i="3" l="1"/>
  <c r="F42" i="3"/>
  <c r="G42" i="3"/>
  <c r="H42" i="3"/>
  <c r="I42" i="3"/>
  <c r="J42" i="3"/>
  <c r="K42" i="3"/>
  <c r="L42" i="3"/>
  <c r="M42" i="3"/>
  <c r="N42" i="3"/>
  <c r="O42" i="3"/>
  <c r="P42" i="3"/>
  <c r="Q42" i="3"/>
  <c r="R42" i="3"/>
  <c r="S42" i="3"/>
  <c r="T42" i="3"/>
  <c r="U42" i="3"/>
  <c r="V42" i="3"/>
  <c r="W42" i="3"/>
  <c r="X42" i="3"/>
  <c r="Y42" i="3"/>
  <c r="Z42" i="3"/>
  <c r="AA42" i="3"/>
  <c r="AB42" i="3"/>
  <c r="AC42" i="3"/>
  <c r="AD42" i="3"/>
  <c r="AE42" i="3"/>
  <c r="AF42" i="3"/>
  <c r="AG42" i="3"/>
  <c r="D38" i="3"/>
  <c r="D40" i="3" s="1"/>
  <c r="E38" i="3"/>
  <c r="E40" i="3" s="1"/>
  <c r="F38" i="3"/>
  <c r="F40" i="3" s="1"/>
  <c r="G38" i="3"/>
  <c r="G40" i="3" s="1"/>
  <c r="H38" i="3"/>
  <c r="H40" i="3" s="1"/>
  <c r="I38" i="3"/>
  <c r="I40" i="3" s="1"/>
  <c r="J38" i="3"/>
  <c r="J40" i="3" s="1"/>
  <c r="K38" i="3"/>
  <c r="K40" i="3" s="1"/>
  <c r="L38" i="3"/>
  <c r="L40" i="3" s="1"/>
  <c r="M38" i="3"/>
  <c r="M40" i="3" s="1"/>
  <c r="N38" i="3"/>
  <c r="N40" i="3" s="1"/>
  <c r="O38" i="3"/>
  <c r="O40" i="3" s="1"/>
  <c r="P40" i="3"/>
  <c r="Q38" i="3"/>
  <c r="Q40" i="3" s="1"/>
  <c r="R38" i="3"/>
  <c r="R40" i="3" s="1"/>
  <c r="S38" i="3"/>
  <c r="S40" i="3" s="1"/>
  <c r="T38" i="3"/>
  <c r="T40" i="3" s="1"/>
  <c r="U38" i="3"/>
  <c r="U40" i="3" s="1"/>
  <c r="V38" i="3"/>
  <c r="V40" i="3" s="1"/>
  <c r="W38" i="3"/>
  <c r="W40" i="3" s="1"/>
  <c r="X38" i="3"/>
  <c r="X40" i="3" s="1"/>
  <c r="Y38" i="3"/>
  <c r="Y40" i="3" s="1"/>
  <c r="Z38" i="3"/>
  <c r="Z40" i="3" s="1"/>
  <c r="AA38" i="3"/>
  <c r="AA40" i="3" s="1"/>
  <c r="AB38" i="3"/>
  <c r="AB40" i="3" s="1"/>
  <c r="AC38" i="3"/>
  <c r="AC40" i="3" s="1"/>
  <c r="AD38" i="3"/>
  <c r="AD40" i="3" s="1"/>
  <c r="AE38" i="3"/>
  <c r="AE40" i="3" s="1"/>
  <c r="AF38" i="3"/>
  <c r="AF40" i="3" s="1"/>
  <c r="AG38" i="3"/>
  <c r="AG40" i="3" s="1"/>
  <c r="D28" i="3"/>
  <c r="D30" i="3" s="1"/>
  <c r="E28" i="3"/>
  <c r="E30" i="3" s="1"/>
  <c r="F28" i="3"/>
  <c r="F30" i="3" s="1"/>
  <c r="G28" i="3"/>
  <c r="G30" i="3" s="1"/>
  <c r="H28" i="3"/>
  <c r="H30" i="3" s="1"/>
  <c r="I28" i="3"/>
  <c r="I30" i="3" s="1"/>
  <c r="J28" i="3"/>
  <c r="J30" i="3" s="1"/>
  <c r="K28" i="3"/>
  <c r="K30" i="3" s="1"/>
  <c r="L28" i="3"/>
  <c r="L30" i="3" s="1"/>
  <c r="M28" i="3"/>
  <c r="M30" i="3" s="1"/>
  <c r="N28" i="3"/>
  <c r="N30" i="3" s="1"/>
  <c r="O28" i="3"/>
  <c r="O30" i="3" s="1"/>
  <c r="P28" i="3"/>
  <c r="P30" i="3" s="1"/>
  <c r="Q28" i="3"/>
  <c r="Q30" i="3" s="1"/>
  <c r="R28" i="3"/>
  <c r="R30" i="3" s="1"/>
  <c r="S28" i="3"/>
  <c r="S30" i="3" s="1"/>
  <c r="T28" i="3"/>
  <c r="T30" i="3" s="1"/>
  <c r="U28" i="3"/>
  <c r="U30" i="3" s="1"/>
  <c r="V28" i="3"/>
  <c r="V30" i="3" s="1"/>
  <c r="W28" i="3"/>
  <c r="W30" i="3" s="1"/>
  <c r="X28" i="3"/>
  <c r="X30" i="3" s="1"/>
  <c r="Y28" i="3"/>
  <c r="Y30" i="3" s="1"/>
  <c r="Z28" i="3"/>
  <c r="Z30" i="3" s="1"/>
  <c r="AA28" i="3"/>
  <c r="AA30" i="3" s="1"/>
  <c r="AB28" i="3"/>
  <c r="AB30" i="3" s="1"/>
  <c r="AC28" i="3"/>
  <c r="AC30" i="3" s="1"/>
  <c r="AD28" i="3"/>
  <c r="AD30" i="3" s="1"/>
  <c r="AE28" i="3"/>
  <c r="AE30" i="3" s="1"/>
  <c r="AF28" i="3"/>
  <c r="AF30" i="3" s="1"/>
  <c r="AG28" i="3"/>
  <c r="AG30" i="3" s="1"/>
  <c r="AH32" i="3"/>
  <c r="AH4" i="3"/>
  <c r="C4" i="5" s="1"/>
  <c r="AH5" i="3"/>
  <c r="C5" i="5" s="1"/>
  <c r="AH14" i="3"/>
  <c r="C9" i="5" s="1"/>
  <c r="AH15" i="3"/>
  <c r="C10" i="5" s="1"/>
  <c r="AH18" i="3"/>
  <c r="C13" i="5" s="1"/>
  <c r="AH20" i="3"/>
  <c r="C14" i="5" s="1"/>
  <c r="AH21" i="3"/>
  <c r="C16" i="5" s="1"/>
  <c r="AH22" i="3"/>
  <c r="C17" i="5" s="1"/>
  <c r="AH23" i="3"/>
  <c r="C18" i="5" s="1"/>
  <c r="AH24" i="3"/>
  <c r="C19" i="5" s="1"/>
  <c r="AH26" i="3"/>
  <c r="C21" i="5" s="1"/>
  <c r="AH27" i="3"/>
  <c r="C29" i="5" s="1"/>
  <c r="AH3" i="3"/>
  <c r="C25" i="5" s="1"/>
  <c r="C42" i="3"/>
  <c r="C28" i="3"/>
  <c r="C30" i="3" s="1"/>
  <c r="R40" i="2"/>
  <c r="Q40" i="2"/>
  <c r="P40" i="2"/>
  <c r="O40" i="2"/>
  <c r="R42" i="2" s="1"/>
  <c r="M40" i="2"/>
  <c r="L40" i="2"/>
  <c r="K40" i="2"/>
  <c r="J40" i="2"/>
  <c r="F40" i="2"/>
  <c r="E40" i="2"/>
  <c r="A9" i="2"/>
  <c r="C30" i="5" l="1"/>
  <c r="A10" i="2"/>
  <c r="B9" i="2"/>
  <c r="C40" i="2"/>
  <c r="G40" i="2"/>
  <c r="E42" i="3"/>
  <c r="AH42" i="3" s="1"/>
  <c r="AH30" i="3"/>
  <c r="C38" i="3"/>
  <c r="O42" i="2"/>
  <c r="Q42" i="2"/>
  <c r="C22" i="5" l="1"/>
  <c r="C32" i="5" s="1"/>
  <c r="A11" i="2"/>
  <c r="B10" i="2"/>
  <c r="AL42" i="3"/>
  <c r="AH38" i="3"/>
  <c r="AN38" i="3" s="1"/>
  <c r="C40" i="3"/>
  <c r="AH40" i="3" s="1"/>
  <c r="C45" i="5" l="1"/>
  <c r="C48" i="5" s="1"/>
  <c r="AM43" i="3"/>
  <c r="AN43" i="3" s="1"/>
  <c r="AJ40" i="3"/>
  <c r="A12" i="2"/>
  <c r="B11" i="2"/>
  <c r="A13" i="2" l="1"/>
  <c r="B12" i="2"/>
  <c r="A14" i="2" l="1"/>
  <c r="B13" i="2"/>
  <c r="A15" i="2" l="1"/>
  <c r="B14" i="2"/>
  <c r="A16" i="2" l="1"/>
  <c r="B15" i="2"/>
  <c r="A17" i="2" l="1"/>
  <c r="B16" i="2"/>
  <c r="A18" i="2" l="1"/>
  <c r="B17" i="2"/>
  <c r="A19" i="2" l="1"/>
  <c r="B18" i="2"/>
  <c r="A20" i="2" l="1"/>
  <c r="B19" i="2"/>
  <c r="A21" i="2" l="1"/>
  <c r="B20" i="2"/>
  <c r="A22" i="2" l="1"/>
  <c r="B21" i="2"/>
  <c r="A23" i="2" l="1"/>
  <c r="B22" i="2"/>
  <c r="A24" i="2" l="1"/>
  <c r="B23" i="2"/>
  <c r="A25" i="2" l="1"/>
  <c r="B24" i="2"/>
  <c r="A26" i="2" l="1"/>
  <c r="B25" i="2"/>
  <c r="A27" i="2" l="1"/>
  <c r="B26" i="2"/>
  <c r="A28" i="2" l="1"/>
  <c r="B27" i="2"/>
  <c r="A29" i="2" l="1"/>
  <c r="B28" i="2"/>
  <c r="A30" i="2" l="1"/>
  <c r="B29" i="2"/>
  <c r="A31" i="2" l="1"/>
  <c r="B30" i="2"/>
  <c r="A32" i="2" l="1"/>
  <c r="B31" i="2"/>
  <c r="A33" i="2" l="1"/>
  <c r="B32" i="2"/>
  <c r="A34" i="2" l="1"/>
  <c r="B33" i="2"/>
  <c r="A35" i="2" l="1"/>
  <c r="B34" i="2"/>
  <c r="A36" i="2" l="1"/>
  <c r="B35" i="2"/>
  <c r="A37" i="2" l="1"/>
  <c r="B36" i="2"/>
  <c r="A38" i="2" l="1"/>
  <c r="B38" i="2" s="1"/>
  <c r="B37" i="2"/>
  <c r="C1" i="9" l="1" a="1"/>
  <c r="C1" i="3" a="1"/>
  <c r="AG1" i="9" l="1"/>
  <c r="F1" i="9"/>
  <c r="V1" i="9"/>
  <c r="G1" i="9"/>
  <c r="W1" i="9"/>
  <c r="H1" i="9"/>
  <c r="X1" i="9"/>
  <c r="I1" i="9"/>
  <c r="Y1" i="9"/>
  <c r="J1" i="9"/>
  <c r="Z1" i="9"/>
  <c r="K1" i="9"/>
  <c r="AA1" i="9"/>
  <c r="L1" i="9"/>
  <c r="AB1" i="9"/>
  <c r="M1" i="9"/>
  <c r="AC1" i="9"/>
  <c r="N1" i="9"/>
  <c r="AD1" i="9"/>
  <c r="O1" i="9"/>
  <c r="AE1" i="9"/>
  <c r="P1" i="9"/>
  <c r="AF1" i="9"/>
  <c r="Q1" i="9"/>
  <c r="R1" i="9"/>
  <c r="C1" i="9"/>
  <c r="S1" i="9"/>
  <c r="D1" i="9"/>
  <c r="T1" i="9"/>
  <c r="E1" i="9"/>
  <c r="U1" i="9"/>
  <c r="H1" i="3"/>
  <c r="X1" i="3"/>
  <c r="G1" i="3"/>
  <c r="W1" i="3"/>
  <c r="I1" i="3"/>
  <c r="Y1" i="3"/>
  <c r="J1" i="3"/>
  <c r="Z1" i="3"/>
  <c r="L1" i="3"/>
  <c r="AB1" i="3"/>
  <c r="K1" i="3"/>
  <c r="AA1" i="3"/>
  <c r="M1" i="3"/>
  <c r="AC1" i="3"/>
  <c r="N1" i="3"/>
  <c r="AD1" i="3"/>
  <c r="E1" i="3"/>
  <c r="U1" i="3"/>
  <c r="V1" i="3"/>
  <c r="P1" i="3"/>
  <c r="AF1" i="3"/>
  <c r="O1" i="3"/>
  <c r="AE1" i="3"/>
  <c r="Q1" i="3"/>
  <c r="AG1" i="3"/>
  <c r="R1" i="3"/>
  <c r="D1" i="3"/>
  <c r="T1" i="3"/>
  <c r="C1" i="3"/>
  <c r="S1" i="3"/>
  <c r="F1" i="3"/>
  <c r="I40" i="2" l="1"/>
  <c r="D22" i="7" l="1"/>
  <c r="D11" i="7"/>
  <c r="D40" i="2"/>
  <c r="M42" i="2" s="1"/>
  <c r="E15" i="7" l="1"/>
  <c r="T40" i="2"/>
</calcChain>
</file>

<file path=xl/comments1.xml><?xml version="1.0" encoding="utf-8"?>
<comments xmlns="http://schemas.openxmlformats.org/spreadsheetml/2006/main">
  <authors>
    <author>MartyJo Davis</author>
  </authors>
  <commentList>
    <comment ref="C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MONTH (I.e. </t>
        </r>
        <r>
          <rPr>
            <b/>
            <u/>
            <sz val="9"/>
            <color indexed="81"/>
            <rFont val="Tahoma"/>
            <family val="2"/>
          </rPr>
          <t>September</t>
        </r>
        <r>
          <rPr>
            <sz val="9"/>
            <color indexed="81"/>
            <rFont val="Tahoma"/>
            <family val="2"/>
          </rPr>
          <t>)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Type YEAR  (I.e. </t>
        </r>
        <r>
          <rPr>
            <b/>
            <u/>
            <sz val="9"/>
            <color indexed="81"/>
            <rFont val="Tahoma"/>
            <family val="2"/>
          </rPr>
          <t>2017</t>
        </r>
        <r>
          <rPr>
            <sz val="9"/>
            <color indexed="81"/>
            <rFont val="Tahoma"/>
            <family val="2"/>
          </rPr>
          <t>)</t>
        </r>
      </text>
    </comment>
    <comment ref="G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Ouray</t>
        </r>
      </text>
    </comment>
    <comment ref="A8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Enter Date (I.e.  </t>
        </r>
        <r>
          <rPr>
            <b/>
            <u/>
            <sz val="9"/>
            <color indexed="81"/>
            <rFont val="Tahoma"/>
            <family val="2"/>
          </rPr>
          <t>09/01/2017</t>
        </r>
        <r>
          <rPr>
            <sz val="9"/>
            <color indexed="81"/>
            <rFont val="Tahoma"/>
            <family val="2"/>
          </rPr>
          <t>)</t>
        </r>
      </text>
    </comment>
  </commentList>
</comments>
</file>

<file path=xl/comments2.xml><?xml version="1.0" encoding="utf-8"?>
<comments xmlns="http://schemas.openxmlformats.org/spreadsheetml/2006/main">
  <authors>
    <author>Julie Lancaster</author>
    <author>MartyJo Davis</author>
  </authors>
  <commentList>
    <comment ref="D30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customer credit, balance write off/memberships cancelled</t>
        </r>
      </text>
    </comment>
    <comment ref="K30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customer credit, balance write off/memberships cancelled</t>
        </r>
      </text>
    </comment>
    <comment ref="Q30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customer credit, balance write off/memberships cancelled</t>
        </r>
      </text>
    </comment>
    <comment ref="W30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customer credit, balance write off/memberships cancelled</t>
        </r>
      </text>
    </comment>
    <comment ref="D34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external cc trans rung up 8/31, entered into ActiveNet 9/2</t>
        </r>
      </text>
    </comment>
    <comment ref="AN36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C42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K42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M42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O42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P42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Q42" authorId="0" shapeId="0">
      <text>
        <r>
          <rPr>
            <b/>
            <sz val="9"/>
            <color indexed="81"/>
            <rFont val="Tahoma"/>
            <family val="2"/>
          </rPr>
          <t xml:space="preserve">Julie Lancaster:
</t>
        </r>
        <r>
          <rPr>
            <sz val="9"/>
            <color indexed="81"/>
            <rFont val="Tahoma"/>
            <family val="2"/>
          </rPr>
          <t>true over/short cash</t>
        </r>
      </text>
    </comment>
    <comment ref="R42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AN42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  <comment ref="B46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 Report:
Total - Merchandise</t>
        </r>
      </text>
    </comment>
    <comment ref="AE4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erroneous transaction by new CSA ringing up 2739 punch pass redemptions</t>
        </r>
      </text>
    </comment>
    <comment ref="B47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Member's Check-in Report</t>
        </r>
      </text>
    </comment>
    <comment ref="B49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of Sales Analysis Calculation + Members</t>
        </r>
      </text>
    </comment>
    <comment ref="B51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Admisions) ÷ Total Admissions</t>
        </r>
      </text>
    </comment>
    <comment ref="B53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+ (50% Pool/Gym Revenue) ÷ Admissions/Covers</t>
        </r>
      </text>
    </comment>
  </commentList>
</comments>
</file>

<file path=xl/comments3.xml><?xml version="1.0" encoding="utf-8"?>
<comments xmlns="http://schemas.openxmlformats.org/spreadsheetml/2006/main">
  <authors>
    <author>MartyJo Davis</author>
  </authors>
  <commentList>
    <comment ref="AN11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Payments+Over/Short
</t>
        </r>
        <r>
          <rPr>
            <u/>
            <sz val="9"/>
            <color indexed="81"/>
            <rFont val="Tahoma"/>
            <family val="2"/>
          </rPr>
          <t xml:space="preserve"> - Total all Revenue GLS</t>
        </r>
        <r>
          <rPr>
            <sz val="9"/>
            <color indexed="81"/>
            <rFont val="Tahoma"/>
            <family val="2"/>
          </rPr>
          <t xml:space="preserve">
Should EQUAL 0 (ZERO) it balances.</t>
        </r>
      </text>
    </comment>
  </commentList>
</comments>
</file>

<file path=xl/comments4.xml><?xml version="1.0" encoding="utf-8"?>
<comments xmlns="http://schemas.openxmlformats.org/spreadsheetml/2006/main">
  <authors>
    <author>Julie Lancaster</author>
    <author>MartyJo Davis</author>
  </authors>
  <commentList>
    <comment ref="O4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manually subtracted cash trans that should have been cc but never refunded</t>
        </r>
      </text>
    </comment>
    <comment ref="S4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manually subtracted cash trans that should have been cc but never refunded</t>
        </r>
      </text>
    </comment>
    <comment ref="Z4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manually subtracted cash trans that should have been cc but never refunded</t>
        </r>
      </text>
    </comment>
    <comment ref="N5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separate deposit was from donation box, not rung up in ActiveNet</t>
        </r>
      </text>
    </comment>
    <comment ref="AN24" authorId="1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Total All Payments Cleared / Outstanding SHOULD EQUAL TOTAL PAYMENTS Resulting in '0' zero response on variance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$16 trans rung up to ext cc was not on batch out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deposit slip modified from $763.07 to $663.07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Y26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  <comment ref="Y27" authorId="0" shapeId="0">
      <text>
        <r>
          <rPr>
            <b/>
            <sz val="9"/>
            <color indexed="81"/>
            <rFont val="Tahoma"/>
            <family val="2"/>
          </rPr>
          <t>Julie Lancaster:</t>
        </r>
        <r>
          <rPr>
            <sz val="9"/>
            <color indexed="81"/>
            <rFont val="Tahoma"/>
            <family val="2"/>
          </rPr>
          <t xml:space="preserve">
true over/short cash</t>
        </r>
      </text>
    </comment>
  </commentList>
</comments>
</file>

<file path=xl/comments5.xml><?xml version="1.0" encoding="utf-8"?>
<comments xmlns="http://schemas.openxmlformats.org/spreadsheetml/2006/main">
  <authors>
    <author>MartyJo Davis</author>
  </authors>
  <commentList>
    <comment ref="B50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Sales Analysis
    Total - Merchandise</t>
        </r>
      </text>
    </comment>
    <comment ref="B54" authorId="0" shapeId="0">
      <text>
        <r>
          <rPr>
            <b/>
            <sz val="9"/>
            <color indexed="81"/>
            <rFont val="Tahoma"/>
            <family val="2"/>
          </rPr>
          <t>MartyJo Davis:</t>
        </r>
        <r>
          <rPr>
            <sz val="9"/>
            <color indexed="81"/>
            <rFont val="Tahoma"/>
            <family val="2"/>
          </rPr>
          <t xml:space="preserve">
Swim Admissions ÷ Admissions/Covers</t>
        </r>
      </text>
    </comment>
  </commentList>
</comments>
</file>

<file path=xl/sharedStrings.xml><?xml version="1.0" encoding="utf-8"?>
<sst xmlns="http://schemas.openxmlformats.org/spreadsheetml/2006/main" count="526" uniqueCount="237">
  <si>
    <t>CASH FLOW</t>
  </si>
  <si>
    <t>DEPOSITS</t>
  </si>
  <si>
    <t>DISBURSEMENTS</t>
  </si>
  <si>
    <t>BALANCE</t>
  </si>
  <si>
    <t>Water</t>
  </si>
  <si>
    <t>LOT</t>
  </si>
  <si>
    <t>Pool</t>
  </si>
  <si>
    <t>BC</t>
  </si>
  <si>
    <t>Paymentech</t>
  </si>
  <si>
    <t>EFTs</t>
  </si>
  <si>
    <t>CR</t>
  </si>
  <si>
    <t>Memo Only</t>
  </si>
  <si>
    <t>Only</t>
  </si>
  <si>
    <t>Misc</t>
  </si>
  <si>
    <t>Other</t>
  </si>
  <si>
    <t>deposits only</t>
  </si>
  <si>
    <t>A/P</t>
  </si>
  <si>
    <t>P/R taxes</t>
  </si>
  <si>
    <t>P/R</t>
  </si>
  <si>
    <t>Bal.Fwd.</t>
  </si>
  <si>
    <t>EOM Adj</t>
  </si>
  <si>
    <t>A = Bank Fees</t>
  </si>
  <si>
    <t>Net AP</t>
  </si>
  <si>
    <t>Gross PR</t>
  </si>
  <si>
    <t>B = Cig Tax Distribution</t>
  </si>
  <si>
    <t>C = Sales Tax Distribution</t>
  </si>
  <si>
    <t>D = HUTF</t>
  </si>
  <si>
    <t>E = PaymentTech</t>
  </si>
  <si>
    <t>F = Express Billpay</t>
  </si>
  <si>
    <t>G = Police Vehicle Payment</t>
  </si>
  <si>
    <t>50-40-4030</t>
  </si>
  <si>
    <t>Swim Pool Admissions</t>
  </si>
  <si>
    <t>50-40-4031</t>
  </si>
  <si>
    <t>Over/Short</t>
  </si>
  <si>
    <t>50-40-4040</t>
  </si>
  <si>
    <t>Locker &amp; Misc. Rental</t>
  </si>
  <si>
    <t>50-40-4045</t>
  </si>
  <si>
    <t>Sales - Pool Merchandise</t>
  </si>
  <si>
    <t>50-40-4047</t>
  </si>
  <si>
    <t>Swim Team</t>
  </si>
  <si>
    <t>50-40-4048</t>
  </si>
  <si>
    <t>Swim Lessons</t>
  </si>
  <si>
    <t>50-40-4050</t>
  </si>
  <si>
    <t>Grants / Donations</t>
  </si>
  <si>
    <t>50-40-4051</t>
  </si>
  <si>
    <t>ATM Rent</t>
  </si>
  <si>
    <t>50-40-4052</t>
  </si>
  <si>
    <t>Massage Rent</t>
  </si>
  <si>
    <t>50-40-4053</t>
  </si>
  <si>
    <t>Swim Shop Rent</t>
  </si>
  <si>
    <t>50-40-4300</t>
  </si>
  <si>
    <t>Lifeguard &amp; Other Class</t>
  </si>
  <si>
    <t>50-40-4320</t>
  </si>
  <si>
    <t>Vending Machine Revenue</t>
  </si>
  <si>
    <t>Cash/Check</t>
  </si>
  <si>
    <t>Credit Card</t>
  </si>
  <si>
    <t>Total</t>
  </si>
  <si>
    <t>Admissions/Covers</t>
  </si>
  <si>
    <t>Members</t>
  </si>
  <si>
    <t>EOM TOTAL</t>
  </si>
  <si>
    <t>01-00-1000</t>
  </si>
  <si>
    <t>50-00-2020</t>
  </si>
  <si>
    <t>Sales Tax Payable</t>
  </si>
  <si>
    <t>Slide Admissions</t>
  </si>
  <si>
    <t>Total Revenue</t>
  </si>
  <si>
    <t>Total Payments</t>
  </si>
  <si>
    <t>GL</t>
  </si>
  <si>
    <t>50-50-6101</t>
  </si>
  <si>
    <t>Promotions [Donations]</t>
  </si>
  <si>
    <t>50-41-4010</t>
  </si>
  <si>
    <t>Box Cañon Admissions</t>
  </si>
  <si>
    <t>Military/Over 75</t>
  </si>
  <si>
    <t>Group</t>
  </si>
  <si>
    <t>Senior</t>
  </si>
  <si>
    <t>Child</t>
  </si>
  <si>
    <t>Adult</t>
  </si>
  <si>
    <t>TOTAL</t>
  </si>
  <si>
    <t>50-43-4010</t>
  </si>
  <si>
    <t>Gym Admission</t>
  </si>
  <si>
    <t>50-41-4020</t>
  </si>
  <si>
    <t>50-41-4015</t>
  </si>
  <si>
    <t>Stamps</t>
  </si>
  <si>
    <t>Donations</t>
  </si>
  <si>
    <t>Sales Tax</t>
  </si>
  <si>
    <t>50-41-4031</t>
  </si>
  <si>
    <t>Unearned Payment Acct.</t>
  </si>
  <si>
    <t>Unearned Payment Acct.  Gift Certificates</t>
  </si>
  <si>
    <t>Pool Cash/Check Cleared</t>
  </si>
  <si>
    <t>Pool Credit Card Cleared</t>
  </si>
  <si>
    <t>Pool Cash Outstanding</t>
  </si>
  <si>
    <t>Pool Credit Card Outstanding</t>
  </si>
  <si>
    <t>Pool Over/Short</t>
  </si>
  <si>
    <t>Pool Promotions [Donations]</t>
  </si>
  <si>
    <t>Box Cañon Cash/Check Cleared</t>
  </si>
  <si>
    <t>Box Cañon Credit Card Cleared</t>
  </si>
  <si>
    <t>Box Cañon Cash Outstanding</t>
  </si>
  <si>
    <t>Box Cañon Credit Card Outstanding</t>
  </si>
  <si>
    <t>Box Cañon Over/Short</t>
  </si>
  <si>
    <t>External CC Machine</t>
  </si>
  <si>
    <t>CC Processor Adjustment (Server Errors)</t>
  </si>
  <si>
    <t xml:space="preserve">EXT CC. </t>
  </si>
  <si>
    <t>Box Cañon Sales Tax</t>
  </si>
  <si>
    <t>Box Cañon Donations</t>
  </si>
  <si>
    <t>Box Cañon Concessions</t>
  </si>
  <si>
    <r>
      <t xml:space="preserve">Variance </t>
    </r>
    <r>
      <rPr>
        <i/>
        <sz val="8"/>
        <color theme="1"/>
        <rFont val="Calibri"/>
        <family val="2"/>
        <scheme val="minor"/>
      </rPr>
      <t>(checking for data entry error)</t>
    </r>
  </si>
  <si>
    <t>GL Report Total</t>
  </si>
  <si>
    <t>ADR</t>
  </si>
  <si>
    <t>Total Admissions</t>
  </si>
  <si>
    <t>Average Admission Rate</t>
  </si>
  <si>
    <t>CC Only</t>
  </si>
  <si>
    <t>50-00-2007</t>
  </si>
  <si>
    <t>50-42-4005</t>
  </si>
  <si>
    <t>Skate Rentals</t>
  </si>
  <si>
    <t>External CC Machine Cleared</t>
  </si>
  <si>
    <t>External CC Machine Outstanding</t>
  </si>
  <si>
    <t>CC Processor Adjustments Cleared</t>
  </si>
  <si>
    <t>CC Processor Adjustments Outstanding</t>
  </si>
  <si>
    <t xml:space="preserve">POOL </t>
  </si>
  <si>
    <t>Box Cañon</t>
  </si>
  <si>
    <r>
      <t xml:space="preserve">ADR Admission       </t>
    </r>
    <r>
      <rPr>
        <i/>
        <sz val="8"/>
        <color theme="1"/>
        <rFont val="Calibri"/>
        <family val="2"/>
        <scheme val="minor"/>
      </rPr>
      <t>(W/O Memberships)</t>
    </r>
  </si>
  <si>
    <t>ADR w/o Membership</t>
  </si>
  <si>
    <t>Average Admission Rate w/o members</t>
  </si>
  <si>
    <t>POOL</t>
  </si>
  <si>
    <t>Cleared</t>
  </si>
  <si>
    <t>Outstanding</t>
  </si>
  <si>
    <t>Pool Cash/Check</t>
  </si>
  <si>
    <t xml:space="preserve">External CC Machine </t>
  </si>
  <si>
    <t xml:space="preserve">CC Processor Adjustments </t>
  </si>
  <si>
    <t>Variance ?</t>
  </si>
  <si>
    <t xml:space="preserve">Variance ? </t>
  </si>
  <si>
    <t>Payment Posting Calculations</t>
  </si>
  <si>
    <t>Description</t>
  </si>
  <si>
    <t>Variance?</t>
  </si>
  <si>
    <t>Pool Temps (Via Facebook)</t>
  </si>
  <si>
    <t>EOM AVG</t>
  </si>
  <si>
    <t>Hot Pool</t>
  </si>
  <si>
    <t>Hot Pool - Avg. Temp.</t>
  </si>
  <si>
    <t>Shallow - Avg. Temp</t>
  </si>
  <si>
    <t>Lap Lanes</t>
  </si>
  <si>
    <t xml:space="preserve">Lap Lanes - Avg. Temp. </t>
  </si>
  <si>
    <t>Published Discount</t>
  </si>
  <si>
    <t>Discount - Average</t>
  </si>
  <si>
    <t>EOM AVG.</t>
  </si>
  <si>
    <t>Discount (Published) - Average</t>
  </si>
  <si>
    <t>Pool Admissions</t>
  </si>
  <si>
    <t>Sales - Merchandise</t>
  </si>
  <si>
    <t>Shallow Pool</t>
  </si>
  <si>
    <t>Admissions</t>
  </si>
  <si>
    <t>*Admissions are calculated by</t>
  </si>
  <si>
    <t>Total Sales</t>
  </si>
  <si>
    <t>-</t>
  </si>
  <si>
    <t>Merchandise</t>
  </si>
  <si>
    <t>+</t>
  </si>
  <si>
    <t>50-40-4032</t>
  </si>
  <si>
    <t>Admissions Discounts</t>
  </si>
  <si>
    <t>50-40-4033</t>
  </si>
  <si>
    <t>50-00-1206</t>
  </si>
  <si>
    <t>Customer Balance A/R</t>
  </si>
  <si>
    <t>Shallow</t>
  </si>
  <si>
    <t>Unearned Payment Acct. Gift Certificates</t>
  </si>
  <si>
    <t>50-40-4034</t>
  </si>
  <si>
    <t>Facility Rental</t>
  </si>
  <si>
    <t>50-40-4350</t>
  </si>
  <si>
    <t>Other Revenue - Misc.</t>
  </si>
  <si>
    <t>50-40-4049</t>
  </si>
  <si>
    <t>Aquatic Classes</t>
  </si>
  <si>
    <t xml:space="preserve">Aquatic Classes </t>
  </si>
  <si>
    <t>50-00-2060</t>
  </si>
  <si>
    <t>Deferred Activity Revenue</t>
  </si>
  <si>
    <t>50-00-2061</t>
  </si>
  <si>
    <t>Deferred Facility Revenue</t>
  </si>
  <si>
    <t xml:space="preserve">Other Revenue - Misc. </t>
  </si>
  <si>
    <t>Prepay activity - recognize rev. when happens</t>
  </si>
  <si>
    <t>Prepay Facility  - recognize rev. when happens</t>
  </si>
  <si>
    <t xml:space="preserve">Sold GC - Payment GC = Net Liability </t>
  </si>
  <si>
    <t>Redeemed Gift Certificates</t>
  </si>
  <si>
    <t>Pool Admissions + Motel Bulk Admission +50% Pool/Gym Rev. - Admission Discounts</t>
  </si>
  <si>
    <t>50-40-4035</t>
  </si>
  <si>
    <t xml:space="preserve">Liability Accounts </t>
  </si>
  <si>
    <t>Sold Gift Certificates</t>
  </si>
  <si>
    <t>Total Liability Transactions</t>
  </si>
  <si>
    <t>Total SOLD Transactions</t>
  </si>
  <si>
    <t>Total Revenue + Total Liability Transactions</t>
  </si>
  <si>
    <t>Use the DIJ to post these individually</t>
  </si>
  <si>
    <t>Payment Transactions</t>
  </si>
  <si>
    <t>Revenue Transactions</t>
  </si>
  <si>
    <t>PM total</t>
  </si>
  <si>
    <t>AM Total</t>
  </si>
  <si>
    <t>PM Variance</t>
  </si>
  <si>
    <t>AM Variance</t>
  </si>
  <si>
    <t>PM Credit Card</t>
  </si>
  <si>
    <t>AM Credit Card</t>
  </si>
  <si>
    <t>PM Cash/Check</t>
  </si>
  <si>
    <t>AM Cash/Check</t>
  </si>
  <si>
    <t>PM Revenue</t>
  </si>
  <si>
    <t>AM Revenue</t>
  </si>
  <si>
    <t>Pool Membership Pass Revenue</t>
  </si>
  <si>
    <t>Gym Admission/Memberships</t>
  </si>
  <si>
    <t>All pool memberships + 50% pool/gym memberships</t>
  </si>
  <si>
    <t>Gym only passes/memberships + 50% pool/gym rev.</t>
  </si>
  <si>
    <t>Slide Add-on</t>
  </si>
  <si>
    <t>10-45-4205</t>
  </si>
  <si>
    <t>Processing Fees</t>
  </si>
  <si>
    <t>50-50-6150</t>
  </si>
  <si>
    <t>CC Processing Fees</t>
  </si>
  <si>
    <t>CC Processing Fees Cleared</t>
  </si>
  <si>
    <t>CC Processing Fees Outstanding</t>
  </si>
  <si>
    <t>Pool Credit Card less processing fees</t>
  </si>
  <si>
    <t>Child (3 and Under)</t>
  </si>
  <si>
    <t>Chil (3 and Under)</t>
  </si>
  <si>
    <t>Concessions</t>
  </si>
  <si>
    <t>Credit Card (less processing fees)</t>
  </si>
  <si>
    <t>50-51-6150</t>
  </si>
  <si>
    <t>BC CC Processing Fees Cleared</t>
  </si>
  <si>
    <t>BC CC Processing Fees Outstanding</t>
  </si>
  <si>
    <t>AM External Credit Card</t>
  </si>
  <si>
    <t>PM External Credit Card</t>
  </si>
  <si>
    <t>External Credit Card</t>
  </si>
  <si>
    <t>Box Cañon External CC Cleared</t>
  </si>
  <si>
    <t>Box Cañon External CC Outstanding</t>
  </si>
  <si>
    <t>Visitor Center</t>
  </si>
  <si>
    <t>60-40-4020</t>
  </si>
  <si>
    <t>Visitor Center Merch</t>
  </si>
  <si>
    <t>Visitor Center Cash/Check</t>
  </si>
  <si>
    <t>Visitor Center Credit Card less processing fees</t>
  </si>
  <si>
    <t>60-40-4031</t>
  </si>
  <si>
    <t>Visitor Center Over/Short</t>
  </si>
  <si>
    <t>60-50-6150</t>
  </si>
  <si>
    <t>Visitor Center Sales Tax</t>
  </si>
  <si>
    <t>Visitor Center Cash/Check Cleared</t>
  </si>
  <si>
    <t>Visitor Center Cash Outstanding</t>
  </si>
  <si>
    <t>Visitor Center Credit Card Cleared</t>
  </si>
  <si>
    <t>Visitor Center Credit Card Outstanding</t>
  </si>
  <si>
    <t>VC CC Processing Fees Cleared</t>
  </si>
  <si>
    <t>VC CC Processing Fees Outstanding</t>
  </si>
  <si>
    <t>Punch Pass Revenue</t>
  </si>
  <si>
    <t>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</si>
</sst>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8" formatCode="&quot;$&quot;#,##0.00_);[Red]\(&quot;$&quot;#,##0.00\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  <numFmt numFmtId="165" formatCode="mm/dd/yy;@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name val="Arial"/>
      <family val="2"/>
    </font>
    <font>
      <sz val="10"/>
      <color indexed="61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color theme="8"/>
      <name val="Arial"/>
      <family val="2"/>
    </font>
    <font>
      <sz val="10"/>
      <color theme="8"/>
      <name val="Arial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9"/>
      <color indexed="81"/>
      <name val="Tahoma"/>
      <family val="2"/>
    </font>
    <font>
      <i/>
      <sz val="10"/>
      <name val="Arial"/>
      <family val="2"/>
    </font>
    <font>
      <b/>
      <i/>
      <sz val="8"/>
      <name val="Arial"/>
      <family val="2"/>
    </font>
    <font>
      <i/>
      <sz val="8"/>
      <name val="Arial"/>
      <family val="2"/>
    </font>
    <font>
      <i/>
      <sz val="10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9"/>
      <color indexed="81"/>
      <name val="Tahoma"/>
      <family val="2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7"/>
      <name val="Calibri"/>
      <family val="2"/>
      <scheme val="minor"/>
    </font>
    <font>
      <i/>
      <sz val="7"/>
      <name val="Arial"/>
      <family val="2"/>
    </font>
    <font>
      <i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00"/>
        <bgColor indexed="64"/>
      </patternFill>
    </fill>
  </fills>
  <borders count="8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medium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medium">
        <color auto="1"/>
      </top>
      <bottom style="hair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/>
      <diagonal/>
    </border>
    <border>
      <left style="medium">
        <color auto="1"/>
      </left>
      <right style="hair">
        <color auto="1"/>
      </right>
      <top/>
      <bottom/>
      <diagonal/>
    </border>
    <border>
      <left style="medium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medium">
        <color auto="1"/>
      </top>
      <bottom style="hair">
        <color auto="1"/>
      </bottom>
      <diagonal/>
    </border>
    <border>
      <left/>
      <right/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hair">
        <color indexed="64"/>
      </left>
      <right style="hair">
        <color indexed="64"/>
      </right>
      <top style="medium">
        <color auto="1"/>
      </top>
      <bottom/>
      <diagonal/>
    </border>
    <border>
      <left/>
      <right style="hair">
        <color indexed="64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auto="1"/>
      </top>
      <bottom/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7">
    <xf numFmtId="0" fontId="0" fillId="0" borderId="0" xfId="0"/>
    <xf numFmtId="0" fontId="4" fillId="0" borderId="0" xfId="2" applyFont="1" applyFill="1" applyProtection="1">
      <protection locked="0"/>
    </xf>
    <xf numFmtId="0" fontId="3" fillId="0" borderId="0" xfId="2" applyFill="1" applyProtection="1">
      <protection locked="0"/>
    </xf>
    <xf numFmtId="4" fontId="3" fillId="0" borderId="0" xfId="2" applyNumberFormat="1" applyFill="1" applyProtection="1">
      <protection locked="0"/>
    </xf>
    <xf numFmtId="0" fontId="3" fillId="0" borderId="0" xfId="2" applyFill="1" applyAlignment="1" applyProtection="1">
      <alignment horizontal="center"/>
      <protection locked="0"/>
    </xf>
    <xf numFmtId="17" fontId="3" fillId="0" borderId="0" xfId="2" quotePrefix="1" applyNumberFormat="1" applyFill="1" applyAlignment="1" applyProtection="1">
      <alignment horizontal="left"/>
      <protection locked="0"/>
    </xf>
    <xf numFmtId="0" fontId="4" fillId="0" borderId="0" xfId="2" quotePrefix="1" applyFont="1" applyFill="1" applyAlignment="1" applyProtection="1">
      <alignment horizontal="center"/>
      <protection locked="0"/>
    </xf>
    <xf numFmtId="0" fontId="4" fillId="0" borderId="0" xfId="2" applyFont="1" applyFill="1" applyAlignment="1" applyProtection="1">
      <alignment horizontal="center"/>
      <protection locked="0"/>
    </xf>
    <xf numFmtId="0" fontId="4" fillId="0" borderId="4" xfId="2" applyFont="1" applyFill="1" applyBorder="1" applyAlignment="1" applyProtection="1">
      <alignment horizontal="center"/>
      <protection locked="0"/>
    </xf>
    <xf numFmtId="4" fontId="3" fillId="0" borderId="0" xfId="2" applyNumberFormat="1" applyFill="1" applyAlignment="1" applyProtection="1">
      <alignment horizontal="center"/>
      <protection locked="0"/>
    </xf>
    <xf numFmtId="4" fontId="3" fillId="0" borderId="0" xfId="2" applyNumberFormat="1" applyFont="1" applyFill="1" applyAlignment="1" applyProtection="1">
      <alignment horizontal="center"/>
      <protection locked="0"/>
    </xf>
    <xf numFmtId="4" fontId="5" fillId="0" borderId="0" xfId="2" applyNumberFormat="1" applyFont="1" applyFill="1" applyAlignment="1" applyProtection="1">
      <alignment horizontal="center"/>
      <protection locked="0"/>
    </xf>
    <xf numFmtId="0" fontId="5" fillId="0" borderId="0" xfId="2" applyFont="1" applyFill="1" applyAlignment="1" applyProtection="1">
      <alignment horizontal="center"/>
      <protection locked="0"/>
    </xf>
    <xf numFmtId="4" fontId="4" fillId="0" borderId="5" xfId="2" applyNumberFormat="1" applyFont="1" applyFill="1" applyBorder="1" applyAlignment="1" applyProtection="1">
      <alignment horizontal="center"/>
      <protection locked="0"/>
    </xf>
    <xf numFmtId="4" fontId="4" fillId="0" borderId="6" xfId="2" applyNumberFormat="1" applyFont="1" applyFill="1" applyBorder="1" applyAlignment="1" applyProtection="1">
      <alignment horizontal="center"/>
      <protection locked="0"/>
    </xf>
    <xf numFmtId="4" fontId="4" fillId="2" borderId="6" xfId="2" applyNumberFormat="1" applyFont="1" applyFill="1" applyBorder="1" applyAlignment="1" applyProtection="1">
      <alignment horizontal="center"/>
      <protection locked="0"/>
    </xf>
    <xf numFmtId="4" fontId="5" fillId="2" borderId="7" xfId="2" applyNumberFormat="1" applyFont="1" applyFill="1" applyBorder="1" applyAlignment="1" applyProtection="1">
      <alignment horizontal="center"/>
      <protection locked="0"/>
    </xf>
    <xf numFmtId="0" fontId="3" fillId="0" borderId="0" xfId="2" applyFill="1" applyAlignment="1" applyProtection="1">
      <alignment horizontal="right"/>
      <protection locked="0"/>
    </xf>
    <xf numFmtId="43" fontId="3" fillId="0" borderId="0" xfId="2" applyNumberFormat="1" applyFill="1" applyProtection="1">
      <protection locked="0"/>
    </xf>
    <xf numFmtId="44" fontId="3" fillId="0" borderId="8" xfId="2" applyNumberFormat="1" applyFill="1" applyBorder="1" applyProtection="1">
      <protection locked="0"/>
    </xf>
    <xf numFmtId="4" fontId="3" fillId="0" borderId="9" xfId="2" applyNumberFormat="1" applyFill="1" applyBorder="1" applyProtection="1">
      <protection locked="0"/>
    </xf>
    <xf numFmtId="4" fontId="3" fillId="2" borderId="9" xfId="2" applyNumberFormat="1" applyFill="1" applyBorder="1" applyProtection="1">
      <protection locked="0"/>
    </xf>
    <xf numFmtId="4" fontId="3" fillId="2" borderId="10" xfId="2" applyNumberFormat="1" applyFill="1" applyBorder="1" applyProtection="1">
      <protection locked="0"/>
    </xf>
    <xf numFmtId="43" fontId="3" fillId="0" borderId="0" xfId="2" applyNumberFormat="1" applyFill="1" applyAlignment="1" applyProtection="1">
      <alignment horizontal="center"/>
      <protection locked="0"/>
    </xf>
    <xf numFmtId="43" fontId="3" fillId="0" borderId="5" xfId="2" applyNumberFormat="1" applyFill="1" applyBorder="1" applyProtection="1">
      <protection locked="0"/>
    </xf>
    <xf numFmtId="43" fontId="3" fillId="0" borderId="6" xfId="2" applyNumberFormat="1" applyFill="1" applyBorder="1" applyProtection="1">
      <protection locked="0"/>
    </xf>
    <xf numFmtId="43" fontId="6" fillId="0" borderId="7" xfId="2" applyNumberFormat="1" applyFont="1" applyFill="1" applyBorder="1" applyProtection="1">
      <protection locked="0"/>
    </xf>
    <xf numFmtId="14" fontId="3" fillId="0" borderId="0" xfId="2" applyNumberFormat="1" applyFill="1" applyProtection="1">
      <protection locked="0"/>
    </xf>
    <xf numFmtId="43" fontId="3" fillId="2" borderId="10" xfId="2" applyNumberFormat="1" applyFill="1" applyBorder="1" applyProtection="1">
      <protection locked="0"/>
    </xf>
    <xf numFmtId="43" fontId="3" fillId="0" borderId="8" xfId="2" applyNumberFormat="1" applyFill="1" applyBorder="1" applyProtection="1">
      <protection locked="0"/>
    </xf>
    <xf numFmtId="43" fontId="3" fillId="0" borderId="9" xfId="2" applyNumberFormat="1" applyFill="1" applyBorder="1" applyProtection="1">
      <protection locked="0"/>
    </xf>
    <xf numFmtId="43" fontId="7" fillId="0" borderId="9" xfId="2" applyNumberFormat="1" applyFont="1" applyFill="1" applyBorder="1" applyProtection="1">
      <protection locked="0"/>
    </xf>
    <xf numFmtId="43" fontId="6" fillId="0" borderId="10" xfId="2" applyNumberFormat="1" applyFont="1" applyFill="1" applyBorder="1" applyProtection="1">
      <protection locked="0"/>
    </xf>
    <xf numFmtId="43" fontId="3" fillId="0" borderId="0" xfId="2" applyNumberFormat="1" applyFont="1" applyFill="1" applyAlignment="1" applyProtection="1">
      <alignment horizontal="center"/>
      <protection locked="0"/>
    </xf>
    <xf numFmtId="43" fontId="5" fillId="0" borderId="9" xfId="2" applyNumberFormat="1" applyFont="1" applyFill="1" applyBorder="1" applyProtection="1">
      <protection locked="0"/>
    </xf>
    <xf numFmtId="43" fontId="8" fillId="0" borderId="0" xfId="2" applyNumberFormat="1" applyFont="1" applyFill="1" applyAlignment="1" applyProtection="1">
      <alignment horizontal="center"/>
      <protection locked="0"/>
    </xf>
    <xf numFmtId="43" fontId="6" fillId="0" borderId="0" xfId="2" applyNumberFormat="1" applyFont="1" applyFill="1" applyAlignment="1" applyProtection="1">
      <alignment horizontal="center"/>
      <protection locked="0"/>
    </xf>
    <xf numFmtId="43" fontId="3" fillId="0" borderId="9" xfId="2" applyNumberFormat="1" applyFont="1" applyFill="1" applyBorder="1" applyProtection="1">
      <protection locked="0"/>
    </xf>
    <xf numFmtId="43" fontId="3" fillId="0" borderId="8" xfId="2" applyNumberFormat="1" applyFont="1" applyFill="1" applyBorder="1" applyProtection="1">
      <protection locked="0"/>
    </xf>
    <xf numFmtId="43" fontId="3" fillId="0" borderId="8" xfId="3" applyFont="1" applyFill="1" applyBorder="1" applyProtection="1">
      <protection locked="0"/>
    </xf>
    <xf numFmtId="164" fontId="3" fillId="0" borderId="9" xfId="4" applyNumberFormat="1" applyFont="1" applyFill="1" applyBorder="1" applyProtection="1">
      <protection locked="0"/>
    </xf>
    <xf numFmtId="4" fontId="3" fillId="2" borderId="9" xfId="3" applyNumberFormat="1" applyFont="1" applyFill="1" applyBorder="1" applyProtection="1">
      <protection locked="0"/>
    </xf>
    <xf numFmtId="8" fontId="3" fillId="2" borderId="9" xfId="2" applyNumberFormat="1" applyFill="1" applyBorder="1" applyProtection="1">
      <protection locked="0"/>
    </xf>
    <xf numFmtId="44" fontId="3" fillId="0" borderId="11" xfId="2" applyNumberFormat="1" applyFill="1" applyBorder="1" applyProtection="1">
      <protection locked="0"/>
    </xf>
    <xf numFmtId="4" fontId="3" fillId="0" borderId="12" xfId="2" applyNumberFormat="1" applyFill="1" applyBorder="1" applyProtection="1">
      <protection locked="0"/>
    </xf>
    <xf numFmtId="4" fontId="3" fillId="2" borderId="12" xfId="2" applyNumberFormat="1" applyFill="1" applyBorder="1" applyProtection="1">
      <protection locked="0"/>
    </xf>
    <xf numFmtId="43" fontId="3" fillId="0" borderId="11" xfId="2" applyNumberFormat="1" applyFill="1" applyBorder="1" applyProtection="1">
      <protection locked="0"/>
    </xf>
    <xf numFmtId="43" fontId="3" fillId="0" borderId="12" xfId="2" applyNumberFormat="1" applyFill="1" applyBorder="1" applyProtection="1">
      <protection locked="0"/>
    </xf>
    <xf numFmtId="43" fontId="6" fillId="0" borderId="13" xfId="2" applyNumberFormat="1" applyFont="1" applyFill="1" applyBorder="1" applyProtection="1">
      <protection locked="0"/>
    </xf>
    <xf numFmtId="16" fontId="3" fillId="0" borderId="0" xfId="2" applyNumberFormat="1" applyFill="1" applyProtection="1">
      <protection locked="0"/>
    </xf>
    <xf numFmtId="43" fontId="5" fillId="0" borderId="0" xfId="2" quotePrefix="1" applyNumberFormat="1" applyFont="1" applyFill="1" applyAlignment="1" applyProtection="1">
      <alignment horizontal="center"/>
      <protection locked="0"/>
    </xf>
    <xf numFmtId="43" fontId="5" fillId="0" borderId="0" xfId="2" applyNumberFormat="1" applyFont="1" applyFill="1" applyAlignment="1" applyProtection="1">
      <alignment horizontal="center"/>
      <protection locked="0"/>
    </xf>
    <xf numFmtId="4" fontId="10" fillId="0" borderId="0" xfId="2" applyNumberFormat="1" applyFont="1" applyFill="1" applyAlignment="1" applyProtection="1">
      <alignment horizontal="right"/>
      <protection locked="0"/>
    </xf>
    <xf numFmtId="4" fontId="6" fillId="0" borderId="0" xfId="2" applyNumberFormat="1" applyFont="1" applyFill="1" applyProtection="1">
      <protection locked="0"/>
    </xf>
    <xf numFmtId="43" fontId="11" fillId="0" borderId="0" xfId="2" applyNumberFormat="1" applyFont="1" applyFill="1" applyProtection="1">
      <protection locked="0"/>
    </xf>
    <xf numFmtId="4" fontId="9" fillId="0" borderId="0" xfId="2" applyNumberFormat="1" applyFont="1" applyFill="1" applyProtection="1">
      <protection locked="0"/>
    </xf>
    <xf numFmtId="4" fontId="3" fillId="0" borderId="0" xfId="2" applyNumberFormat="1" applyFont="1" applyFill="1" applyProtection="1">
      <protection locked="0"/>
    </xf>
    <xf numFmtId="4" fontId="3" fillId="0" borderId="0" xfId="2" applyNumberFormat="1" applyFill="1" applyAlignment="1" applyProtection="1">
      <alignment horizontal="right"/>
      <protection locked="0"/>
    </xf>
    <xf numFmtId="43" fontId="3" fillId="0" borderId="9" xfId="2" applyNumberFormat="1" applyBorder="1" applyProtection="1"/>
    <xf numFmtId="0" fontId="0" fillId="0" borderId="0" xfId="0" applyProtection="1">
      <protection locked="0"/>
    </xf>
    <xf numFmtId="0" fontId="12" fillId="0" borderId="0" xfId="0" applyFont="1" applyProtection="1">
      <protection locked="0"/>
    </xf>
    <xf numFmtId="0" fontId="14" fillId="0" borderId="0" xfId="0" applyFont="1" applyFill="1" applyProtection="1">
      <protection locked="0"/>
    </xf>
    <xf numFmtId="0" fontId="14" fillId="0" borderId="0" xfId="0" applyFont="1" applyFill="1" applyBorder="1" applyProtection="1">
      <protection locked="0"/>
    </xf>
    <xf numFmtId="0" fontId="2" fillId="2" borderId="42" xfId="0" applyFont="1" applyFill="1" applyBorder="1" applyAlignment="1" applyProtection="1">
      <alignment horizontal="center"/>
      <protection locked="0"/>
    </xf>
    <xf numFmtId="0" fontId="2" fillId="2" borderId="43" xfId="0" applyFont="1" applyFill="1" applyBorder="1" applyAlignment="1" applyProtection="1">
      <alignment horizontal="center"/>
      <protection locked="0"/>
    </xf>
    <xf numFmtId="0" fontId="14" fillId="2" borderId="44" xfId="0" applyFont="1" applyFill="1" applyBorder="1" applyProtection="1">
      <protection locked="0"/>
    </xf>
    <xf numFmtId="0" fontId="0" fillId="0" borderId="40" xfId="0" applyBorder="1" applyProtection="1">
      <protection locked="0"/>
    </xf>
    <xf numFmtId="0" fontId="12" fillId="0" borderId="41" xfId="0" applyFont="1" applyBorder="1" applyProtection="1">
      <protection locked="0"/>
    </xf>
    <xf numFmtId="43" fontId="12" fillId="0" borderId="32" xfId="0" applyNumberFormat="1" applyFont="1" applyBorder="1" applyProtection="1">
      <protection locked="0"/>
    </xf>
    <xf numFmtId="0" fontId="0" fillId="0" borderId="36" xfId="0" applyBorder="1" applyProtection="1">
      <protection locked="0"/>
    </xf>
    <xf numFmtId="0" fontId="12" fillId="0" borderId="37" xfId="0" applyFont="1" applyBorder="1" applyProtection="1">
      <protection locked="0"/>
    </xf>
    <xf numFmtId="43" fontId="12" fillId="0" borderId="33" xfId="0" applyNumberFormat="1" applyFont="1" applyBorder="1" applyProtection="1">
      <protection locked="0"/>
    </xf>
    <xf numFmtId="43" fontId="12" fillId="0" borderId="9" xfId="0" applyNumberFormat="1" applyFont="1" applyBorder="1" applyProtection="1">
      <protection locked="0"/>
    </xf>
    <xf numFmtId="43" fontId="12" fillId="0" borderId="34" xfId="0" applyNumberFormat="1" applyFont="1" applyBorder="1" applyProtection="1">
      <protection locked="0"/>
    </xf>
    <xf numFmtId="43" fontId="12" fillId="0" borderId="29" xfId="0" applyNumberFormat="1" applyFont="1" applyBorder="1" applyProtection="1">
      <protection locked="0"/>
    </xf>
    <xf numFmtId="0" fontId="0" fillId="0" borderId="51" xfId="0" applyBorder="1" applyProtection="1">
      <protection locked="0"/>
    </xf>
    <xf numFmtId="0" fontId="12" fillId="0" borderId="52" xfId="0" applyFont="1" applyBorder="1" applyProtection="1">
      <protection locked="0"/>
    </xf>
    <xf numFmtId="0" fontId="0" fillId="0" borderId="38" xfId="0" applyBorder="1" applyProtection="1">
      <protection locked="0"/>
    </xf>
    <xf numFmtId="0" fontId="12" fillId="0" borderId="39" xfId="0" applyFont="1" applyBorder="1" applyProtection="1">
      <protection locked="0"/>
    </xf>
    <xf numFmtId="43" fontId="12" fillId="0" borderId="35" xfId="0" applyNumberFormat="1" applyFont="1" applyBorder="1" applyProtection="1">
      <protection locked="0"/>
    </xf>
    <xf numFmtId="43" fontId="12" fillId="0" borderId="22" xfId="0" applyNumberFormat="1" applyFont="1" applyBorder="1" applyProtection="1">
      <protection locked="0"/>
    </xf>
    <xf numFmtId="0" fontId="0" fillId="0" borderId="21" xfId="0" applyBorder="1" applyProtection="1">
      <protection locked="0"/>
    </xf>
    <xf numFmtId="0" fontId="12" fillId="0" borderId="23" xfId="0" applyFont="1" applyBorder="1" applyProtection="1">
      <protection locked="0"/>
    </xf>
    <xf numFmtId="0" fontId="12" fillId="0" borderId="16" xfId="0" applyFont="1" applyBorder="1" applyProtection="1">
      <protection locked="0"/>
    </xf>
    <xf numFmtId="0" fontId="12" fillId="0" borderId="17" xfId="0" applyFont="1" applyBorder="1" applyProtection="1">
      <protection locked="0"/>
    </xf>
    <xf numFmtId="0" fontId="13" fillId="0" borderId="0" xfId="0" applyFont="1" applyFill="1" applyBorder="1" applyProtection="1">
      <protection locked="0"/>
    </xf>
    <xf numFmtId="0" fontId="0" fillId="3" borderId="45" xfId="0" applyFill="1" applyBorder="1" applyProtection="1">
      <protection locked="0"/>
    </xf>
    <xf numFmtId="0" fontId="12" fillId="3" borderId="27" xfId="0" applyFont="1" applyFill="1" applyBorder="1" applyProtection="1">
      <protection locked="0"/>
    </xf>
    <xf numFmtId="43" fontId="12" fillId="3" borderId="27" xfId="0" applyNumberFormat="1" applyFont="1" applyFill="1" applyBorder="1" applyProtection="1">
      <protection locked="0"/>
    </xf>
    <xf numFmtId="0" fontId="0" fillId="0" borderId="16" xfId="0" applyBorder="1" applyProtection="1">
      <protection locked="0"/>
    </xf>
    <xf numFmtId="0" fontId="0" fillId="0" borderId="19" xfId="0" applyBorder="1" applyProtection="1">
      <protection locked="0"/>
    </xf>
    <xf numFmtId="0" fontId="12" fillId="0" borderId="9" xfId="0" applyFont="1" applyBorder="1" applyProtection="1">
      <protection locked="0"/>
    </xf>
    <xf numFmtId="0" fontId="0" fillId="0" borderId="28" xfId="0" applyBorder="1" applyProtection="1">
      <protection locked="0"/>
    </xf>
    <xf numFmtId="0" fontId="12" fillId="0" borderId="29" xfId="0" applyFont="1" applyBorder="1" applyProtection="1">
      <protection locked="0"/>
    </xf>
    <xf numFmtId="0" fontId="12" fillId="0" borderId="22" xfId="0" applyFont="1" applyBorder="1" applyProtection="1">
      <protection locked="0"/>
    </xf>
    <xf numFmtId="0" fontId="0" fillId="3" borderId="31" xfId="0" applyFill="1" applyBorder="1" applyProtection="1">
      <protection locked="0"/>
    </xf>
    <xf numFmtId="0" fontId="12" fillId="3" borderId="0" xfId="0" applyFont="1" applyFill="1" applyBorder="1" applyProtection="1">
      <protection locked="0"/>
    </xf>
    <xf numFmtId="43" fontId="12" fillId="3" borderId="0" xfId="0" applyNumberFormat="1" applyFont="1" applyFill="1" applyBorder="1" applyProtection="1">
      <protection locked="0"/>
    </xf>
    <xf numFmtId="0" fontId="14" fillId="3" borderId="0" xfId="0" applyFont="1" applyFill="1" applyBorder="1" applyProtection="1">
      <protection locked="0"/>
    </xf>
    <xf numFmtId="0" fontId="0" fillId="0" borderId="0" xfId="0" applyBorder="1" applyProtection="1">
      <protection locked="0"/>
    </xf>
    <xf numFmtId="0" fontId="13" fillId="0" borderId="30" xfId="0" applyFont="1" applyBorder="1" applyProtection="1">
      <protection locked="0"/>
    </xf>
    <xf numFmtId="0" fontId="13" fillId="0" borderId="46" xfId="0" applyFont="1" applyBorder="1" applyProtection="1">
      <protection locked="0"/>
    </xf>
    <xf numFmtId="0" fontId="13" fillId="0" borderId="0" xfId="0" applyFont="1" applyProtection="1">
      <protection locked="0"/>
    </xf>
    <xf numFmtId="0" fontId="14" fillId="0" borderId="18" xfId="0" applyFont="1" applyFill="1" applyBorder="1" applyProtection="1">
      <protection locked="0"/>
    </xf>
    <xf numFmtId="0" fontId="12" fillId="0" borderId="22" xfId="0" applyFont="1" applyBorder="1" applyAlignment="1" applyProtection="1">
      <alignment horizontal="right"/>
      <protection locked="0"/>
    </xf>
    <xf numFmtId="0" fontId="14" fillId="0" borderId="23" xfId="0" applyFont="1" applyFill="1" applyBorder="1" applyProtection="1">
      <protection locked="0"/>
    </xf>
    <xf numFmtId="14" fontId="15" fillId="2" borderId="43" xfId="0" applyNumberFormat="1" applyFont="1" applyFill="1" applyBorder="1" applyProtection="1"/>
    <xf numFmtId="43" fontId="12" fillId="0" borderId="17" xfId="0" applyNumberFormat="1" applyFont="1" applyBorder="1" applyProtection="1"/>
    <xf numFmtId="43" fontId="14" fillId="0" borderId="26" xfId="0" applyNumberFormat="1" applyFont="1" applyFill="1" applyBorder="1" applyProtection="1"/>
    <xf numFmtId="43" fontId="13" fillId="0" borderId="18" xfId="0" applyNumberFormat="1" applyFont="1" applyFill="1" applyBorder="1" applyProtection="1"/>
    <xf numFmtId="43" fontId="14" fillId="0" borderId="18" xfId="0" applyNumberFormat="1" applyFont="1" applyFill="1" applyBorder="1" applyProtection="1"/>
    <xf numFmtId="43" fontId="14" fillId="0" borderId="20" xfId="0" applyNumberFormat="1" applyFont="1" applyFill="1" applyBorder="1" applyProtection="1"/>
    <xf numFmtId="43" fontId="14" fillId="0" borderId="23" xfId="0" applyNumberFormat="1" applyFont="1" applyFill="1" applyBorder="1" applyProtection="1"/>
    <xf numFmtId="43" fontId="12" fillId="0" borderId="25" xfId="0" applyNumberFormat="1" applyFont="1" applyBorder="1" applyProtection="1"/>
    <xf numFmtId="43" fontId="13" fillId="0" borderId="46" xfId="0" applyNumberFormat="1" applyFont="1" applyBorder="1" applyProtection="1"/>
    <xf numFmtId="43" fontId="14" fillId="0" borderId="47" xfId="0" applyNumberFormat="1" applyFont="1" applyFill="1" applyBorder="1" applyProtection="1"/>
    <xf numFmtId="0" fontId="0" fillId="0" borderId="0" xfId="0" applyProtection="1"/>
    <xf numFmtId="0" fontId="2" fillId="2" borderId="42" xfId="0" applyFont="1" applyFill="1" applyBorder="1" applyAlignment="1" applyProtection="1">
      <alignment horizontal="center"/>
    </xf>
    <xf numFmtId="0" fontId="2" fillId="2" borderId="43" xfId="0" applyFont="1" applyFill="1" applyBorder="1" applyAlignment="1" applyProtection="1">
      <alignment horizontal="center"/>
    </xf>
    <xf numFmtId="0" fontId="14" fillId="2" borderId="44" xfId="0" applyFont="1" applyFill="1" applyBorder="1" applyProtection="1"/>
    <xf numFmtId="0" fontId="0" fillId="0" borderId="40" xfId="0" applyFill="1" applyBorder="1" applyProtection="1"/>
    <xf numFmtId="0" fontId="12" fillId="0" borderId="41" xfId="0" applyFont="1" applyFill="1" applyBorder="1" applyProtection="1"/>
    <xf numFmtId="0" fontId="0" fillId="0" borderId="36" xfId="0" applyFill="1" applyBorder="1" applyProtection="1"/>
    <xf numFmtId="0" fontId="12" fillId="0" borderId="37" xfId="0" applyFont="1" applyFill="1" applyBorder="1" applyProtection="1"/>
    <xf numFmtId="43" fontId="12" fillId="0" borderId="33" xfId="0" applyNumberFormat="1" applyFont="1" applyBorder="1" applyProtection="1"/>
    <xf numFmtId="43" fontId="12" fillId="0" borderId="9" xfId="0" applyNumberFormat="1" applyFont="1" applyBorder="1" applyProtection="1"/>
    <xf numFmtId="0" fontId="0" fillId="0" borderId="16" xfId="0" applyBorder="1" applyProtection="1"/>
    <xf numFmtId="0" fontId="12" fillId="0" borderId="17" xfId="0" applyFont="1" applyBorder="1" applyProtection="1"/>
    <xf numFmtId="44" fontId="0" fillId="0" borderId="18" xfId="1" applyFont="1" applyBorder="1" applyProtection="1"/>
    <xf numFmtId="0" fontId="0" fillId="0" borderId="19" xfId="0" applyBorder="1" applyProtection="1"/>
    <xf numFmtId="0" fontId="12" fillId="0" borderId="9" xfId="0" applyFont="1" applyBorder="1" applyProtection="1"/>
    <xf numFmtId="44" fontId="0" fillId="0" borderId="20" xfId="1" applyFont="1" applyBorder="1" applyProtection="1"/>
    <xf numFmtId="0" fontId="0" fillId="0" borderId="38" xfId="0" applyBorder="1" applyProtection="1"/>
    <xf numFmtId="43" fontId="12" fillId="0" borderId="22" xfId="0" applyNumberFormat="1" applyFont="1" applyBorder="1" applyProtection="1"/>
    <xf numFmtId="0" fontId="12" fillId="0" borderId="16" xfId="0" applyFont="1" applyBorder="1" applyProtection="1"/>
    <xf numFmtId="0" fontId="0" fillId="0" borderId="21" xfId="0" applyBorder="1" applyProtection="1"/>
    <xf numFmtId="0" fontId="12" fillId="0" borderId="22" xfId="0" applyFont="1" applyBorder="1" applyProtection="1"/>
    <xf numFmtId="0" fontId="0" fillId="0" borderId="24" xfId="0" applyBorder="1" applyProtection="1"/>
    <xf numFmtId="0" fontId="12" fillId="0" borderId="25" xfId="0" applyFont="1" applyBorder="1" applyProtection="1"/>
    <xf numFmtId="0" fontId="15" fillId="0" borderId="16" xfId="0" applyFont="1" applyBorder="1" applyAlignment="1" applyProtection="1">
      <alignment horizontal="right"/>
    </xf>
    <xf numFmtId="41" fontId="0" fillId="0" borderId="17" xfId="0" applyNumberFormat="1" applyBorder="1" applyProtection="1"/>
    <xf numFmtId="41" fontId="0" fillId="0" borderId="18" xfId="0" applyNumberFormat="1" applyBorder="1" applyProtection="1"/>
    <xf numFmtId="41" fontId="0" fillId="0" borderId="48" xfId="0" applyNumberFormat="1" applyBorder="1" applyProtection="1"/>
    <xf numFmtId="0" fontId="15" fillId="0" borderId="19" xfId="0" applyFont="1" applyBorder="1" applyAlignment="1" applyProtection="1">
      <alignment horizontal="right"/>
    </xf>
    <xf numFmtId="41" fontId="0" fillId="0" borderId="9" xfId="0" applyNumberFormat="1" applyBorder="1" applyProtection="1"/>
    <xf numFmtId="41" fontId="0" fillId="0" borderId="20" xfId="0" applyNumberFormat="1" applyBorder="1" applyProtection="1"/>
    <xf numFmtId="0" fontId="2" fillId="3" borderId="21" xfId="0" applyFont="1" applyFill="1" applyBorder="1" applyProtection="1"/>
    <xf numFmtId="41" fontId="2" fillId="3" borderId="22" xfId="0" applyNumberFormat="1" applyFont="1" applyFill="1" applyBorder="1" applyProtection="1"/>
    <xf numFmtId="41" fontId="2" fillId="3" borderId="50" xfId="0" applyNumberFormat="1" applyFont="1" applyFill="1" applyBorder="1" applyProtection="1"/>
    <xf numFmtId="44" fontId="3" fillId="0" borderId="9" xfId="2" applyNumberFormat="1" applyFill="1" applyBorder="1" applyProtection="1">
      <protection locked="0"/>
    </xf>
    <xf numFmtId="44" fontId="3" fillId="0" borderId="9" xfId="2" applyNumberFormat="1" applyFont="1" applyFill="1" applyBorder="1" applyProtection="1">
      <protection locked="0"/>
    </xf>
    <xf numFmtId="43" fontId="3" fillId="0" borderId="9" xfId="2" applyNumberFormat="1" applyFill="1" applyBorder="1" applyProtection="1"/>
    <xf numFmtId="43" fontId="3" fillId="0" borderId="8" xfId="2" applyNumberFormat="1" applyFill="1" applyBorder="1" applyProtection="1"/>
    <xf numFmtId="43" fontId="12" fillId="0" borderId="29" xfId="0" applyNumberFormat="1" applyFont="1" applyBorder="1" applyProtection="1"/>
    <xf numFmtId="4" fontId="17" fillId="0" borderId="0" xfId="2" applyNumberFormat="1" applyFont="1" applyFill="1" applyAlignment="1" applyProtection="1">
      <alignment horizontal="center"/>
      <protection locked="0"/>
    </xf>
    <xf numFmtId="4" fontId="16" fillId="0" borderId="6" xfId="2" applyNumberFormat="1" applyFont="1" applyFill="1" applyBorder="1" applyAlignment="1" applyProtection="1">
      <alignment horizontal="center"/>
      <protection locked="0"/>
    </xf>
    <xf numFmtId="44" fontId="0" fillId="0" borderId="0" xfId="1" applyFont="1" applyProtection="1">
      <protection locked="0"/>
    </xf>
    <xf numFmtId="44" fontId="0" fillId="0" borderId="18" xfId="0" applyNumberFormat="1" applyBorder="1" applyProtection="1"/>
    <xf numFmtId="44" fontId="0" fillId="0" borderId="20" xfId="0" applyNumberFormat="1" applyBorder="1" applyProtection="1"/>
    <xf numFmtId="44" fontId="0" fillId="0" borderId="23" xfId="0" applyNumberFormat="1" applyBorder="1" applyProtection="1"/>
    <xf numFmtId="0" fontId="0" fillId="0" borderId="40" xfId="0" applyFill="1" applyBorder="1" applyProtection="1">
      <protection locked="0"/>
    </xf>
    <xf numFmtId="0" fontId="12" fillId="0" borderId="41" xfId="0" applyFont="1" applyFill="1" applyBorder="1" applyProtection="1">
      <protection locked="0"/>
    </xf>
    <xf numFmtId="0" fontId="0" fillId="0" borderId="36" xfId="0" applyFill="1" applyBorder="1" applyProtection="1">
      <protection locked="0"/>
    </xf>
    <xf numFmtId="0" fontId="12" fillId="0" borderId="37" xfId="0" applyFont="1" applyFill="1" applyBorder="1" applyProtection="1">
      <protection locked="0"/>
    </xf>
    <xf numFmtId="0" fontId="0" fillId="3" borderId="30" xfId="0" applyFill="1" applyBorder="1" applyProtection="1">
      <protection locked="0"/>
    </xf>
    <xf numFmtId="0" fontId="13" fillId="3" borderId="46" xfId="0" applyFont="1" applyFill="1" applyBorder="1" applyAlignment="1" applyProtection="1">
      <alignment horizontal="center"/>
      <protection locked="0"/>
    </xf>
    <xf numFmtId="0" fontId="12" fillId="3" borderId="46" xfId="0" applyFont="1" applyFill="1" applyBorder="1" applyProtection="1">
      <protection locked="0"/>
    </xf>
    <xf numFmtId="0" fontId="14" fillId="3" borderId="47" xfId="0" applyFont="1" applyFill="1" applyBorder="1" applyProtection="1">
      <protection locked="0"/>
    </xf>
    <xf numFmtId="0" fontId="0" fillId="0" borderId="31" xfId="0" applyBorder="1" applyProtection="1">
      <protection locked="0"/>
    </xf>
    <xf numFmtId="0" fontId="2" fillId="3" borderId="49" xfId="0" applyFont="1" applyFill="1" applyBorder="1" applyProtection="1">
      <protection locked="0"/>
    </xf>
    <xf numFmtId="0" fontId="2" fillId="0" borderId="0" xfId="0" applyFont="1" applyProtection="1">
      <protection locked="0"/>
    </xf>
    <xf numFmtId="4" fontId="3" fillId="0" borderId="14" xfId="2" applyNumberFormat="1" applyFill="1" applyBorder="1" applyProtection="1"/>
    <xf numFmtId="4" fontId="3" fillId="2" borderId="14" xfId="2" applyNumberFormat="1" applyFill="1" applyBorder="1" applyProtection="1"/>
    <xf numFmtId="43" fontId="3" fillId="0" borderId="0" xfId="2" applyNumberFormat="1" applyFill="1" applyAlignment="1" applyProtection="1">
      <alignment horizontal="center"/>
    </xf>
    <xf numFmtId="43" fontId="3" fillId="0" borderId="14" xfId="2" applyNumberFormat="1" applyFill="1" applyBorder="1" applyProtection="1"/>
    <xf numFmtId="43" fontId="5" fillId="0" borderId="0" xfId="2" quotePrefix="1" applyNumberFormat="1" applyFont="1" applyFill="1" applyAlignment="1" applyProtection="1">
      <alignment horizontal="center"/>
    </xf>
    <xf numFmtId="43" fontId="5" fillId="0" borderId="15" xfId="2" applyNumberFormat="1" applyFont="1" applyFill="1" applyBorder="1" applyProtection="1"/>
    <xf numFmtId="43" fontId="3" fillId="0" borderId="0" xfId="2" applyNumberFormat="1" applyFill="1" applyProtection="1"/>
    <xf numFmtId="43" fontId="5" fillId="0" borderId="0" xfId="2" applyNumberFormat="1" applyFont="1" applyFill="1" applyProtection="1"/>
    <xf numFmtId="4" fontId="19" fillId="0" borderId="0" xfId="0" applyNumberFormat="1" applyFont="1" applyProtection="1"/>
    <xf numFmtId="0" fontId="19" fillId="0" borderId="0" xfId="1" applyNumberFormat="1" applyFont="1" applyProtection="1"/>
    <xf numFmtId="0" fontId="18" fillId="0" borderId="0" xfId="0" applyFont="1" applyProtection="1">
      <protection locked="0"/>
    </xf>
    <xf numFmtId="0" fontId="2" fillId="0" borderId="21" xfId="0" applyFont="1" applyBorder="1" applyProtection="1"/>
    <xf numFmtId="0" fontId="13" fillId="0" borderId="22" xfId="0" applyFont="1" applyBorder="1" applyProtection="1"/>
    <xf numFmtId="44" fontId="2" fillId="0" borderId="23" xfId="1" applyFont="1" applyBorder="1" applyProtection="1"/>
    <xf numFmtId="43" fontId="12" fillId="0" borderId="25" xfId="0" applyNumberFormat="1" applyFont="1" applyBorder="1" applyProtection="1">
      <protection locked="0"/>
    </xf>
    <xf numFmtId="43" fontId="20" fillId="0" borderId="18" xfId="1" applyNumberFormat="1" applyFont="1" applyBorder="1" applyProtection="1"/>
    <xf numFmtId="43" fontId="1" fillId="0" borderId="20" xfId="1" applyNumberFormat="1" applyFont="1" applyBorder="1" applyProtection="1"/>
    <xf numFmtId="43" fontId="1" fillId="0" borderId="23" xfId="1" applyNumberFormat="1" applyFont="1" applyBorder="1" applyProtection="1"/>
    <xf numFmtId="0" fontId="12" fillId="0" borderId="31" xfId="0" applyFont="1" applyBorder="1" applyProtection="1">
      <protection locked="0"/>
    </xf>
    <xf numFmtId="0" fontId="12" fillId="0" borderId="0" xfId="0" applyFont="1" applyBorder="1" applyProtection="1">
      <protection locked="0"/>
    </xf>
    <xf numFmtId="43" fontId="13" fillId="0" borderId="20" xfId="0" applyNumberFormat="1" applyFont="1" applyFill="1" applyBorder="1" applyProtection="1"/>
    <xf numFmtId="44" fontId="0" fillId="0" borderId="0" xfId="1" applyFont="1" applyBorder="1" applyProtection="1">
      <protection locked="0"/>
    </xf>
    <xf numFmtId="0" fontId="12" fillId="0" borderId="53" xfId="0" applyFont="1" applyBorder="1" applyProtection="1">
      <protection locked="0"/>
    </xf>
    <xf numFmtId="0" fontId="12" fillId="0" borderId="33" xfId="0" applyFont="1" applyBorder="1" applyProtection="1">
      <protection locked="0"/>
    </xf>
    <xf numFmtId="0" fontId="0" fillId="3" borderId="49" xfId="0" applyFill="1" applyBorder="1" applyProtection="1">
      <protection locked="0"/>
    </xf>
    <xf numFmtId="0" fontId="12" fillId="3" borderId="54" xfId="0" applyFont="1" applyFill="1" applyBorder="1" applyProtection="1">
      <protection locked="0"/>
    </xf>
    <xf numFmtId="43" fontId="12" fillId="3" borderId="54" xfId="0" applyNumberFormat="1" applyFont="1" applyFill="1" applyBorder="1" applyProtection="1">
      <protection locked="0"/>
    </xf>
    <xf numFmtId="0" fontId="14" fillId="3" borderId="50" xfId="0" applyFont="1" applyFill="1" applyBorder="1" applyProtection="1">
      <protection locked="0"/>
    </xf>
    <xf numFmtId="0" fontId="12" fillId="0" borderId="55" xfId="0" applyFont="1" applyBorder="1" applyProtection="1">
      <protection locked="0"/>
    </xf>
    <xf numFmtId="0" fontId="12" fillId="0" borderId="56" xfId="0" applyFont="1" applyBorder="1" applyProtection="1">
      <protection locked="0"/>
    </xf>
    <xf numFmtId="0" fontId="12" fillId="0" borderId="57" xfId="0" applyFont="1" applyBorder="1" applyProtection="1">
      <protection locked="0"/>
    </xf>
    <xf numFmtId="0" fontId="0" fillId="0" borderId="55" xfId="0" applyBorder="1" applyProtection="1">
      <protection locked="0"/>
    </xf>
    <xf numFmtId="0" fontId="0" fillId="0" borderId="56" xfId="0" applyBorder="1" applyProtection="1">
      <protection locked="0"/>
    </xf>
    <xf numFmtId="0" fontId="0" fillId="0" borderId="57" xfId="0" applyBorder="1" applyProtection="1">
      <protection locked="0"/>
    </xf>
    <xf numFmtId="0" fontId="0" fillId="0" borderId="0" xfId="0" applyBorder="1" applyProtection="1"/>
    <xf numFmtId="44" fontId="23" fillId="0" borderId="0" xfId="1" applyFont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  <protection locked="0"/>
    </xf>
    <xf numFmtId="0" fontId="23" fillId="0" borderId="0" xfId="0" applyFont="1" applyBorder="1" applyAlignment="1">
      <alignment horizontal="right"/>
    </xf>
    <xf numFmtId="43" fontId="23" fillId="0" borderId="0" xfId="0" applyNumberFormat="1" applyFont="1" applyBorder="1" applyAlignment="1">
      <alignment horizontal="right"/>
    </xf>
    <xf numFmtId="43" fontId="0" fillId="0" borderId="0" xfId="0" applyNumberFormat="1" applyProtection="1">
      <protection locked="0"/>
    </xf>
    <xf numFmtId="0" fontId="0" fillId="0" borderId="30" xfId="0" applyBorder="1" applyProtection="1"/>
    <xf numFmtId="0" fontId="12" fillId="0" borderId="46" xfId="0" applyFont="1" applyBorder="1" applyProtection="1"/>
    <xf numFmtId="0" fontId="12" fillId="0" borderId="17" xfId="0" applyFont="1" applyBorder="1" applyAlignment="1" applyProtection="1">
      <alignment horizontal="right"/>
    </xf>
    <xf numFmtId="0" fontId="12" fillId="0" borderId="22" xfId="0" applyFont="1" applyBorder="1" applyAlignment="1" applyProtection="1">
      <alignment horizontal="right"/>
    </xf>
    <xf numFmtId="2" fontId="12" fillId="0" borderId="46" xfId="0" applyNumberFormat="1" applyFont="1" applyBorder="1" applyAlignment="1">
      <alignment vertical="center"/>
    </xf>
    <xf numFmtId="165" fontId="3" fillId="0" borderId="0" xfId="2" applyNumberFormat="1" applyFill="1" applyProtection="1"/>
    <xf numFmtId="4" fontId="3" fillId="0" borderId="0" xfId="2" applyNumberFormat="1" applyFill="1" applyProtection="1"/>
    <xf numFmtId="0" fontId="12" fillId="0" borderId="18" xfId="0" applyFont="1" applyBorder="1" applyAlignment="1" applyProtection="1">
      <alignment horizontal="left"/>
    </xf>
    <xf numFmtId="0" fontId="12" fillId="0" borderId="23" xfId="0" applyFont="1" applyBorder="1" applyAlignment="1" applyProtection="1">
      <alignment horizontal="left"/>
    </xf>
    <xf numFmtId="0" fontId="12" fillId="0" borderId="47" xfId="0" applyFont="1" applyBorder="1" applyAlignment="1" applyProtection="1">
      <alignment horizontal="left"/>
    </xf>
    <xf numFmtId="0" fontId="12" fillId="0" borderId="30" xfId="0" applyFont="1" applyBorder="1" applyProtection="1"/>
    <xf numFmtId="0" fontId="12" fillId="0" borderId="47" xfId="0" applyFont="1" applyBorder="1" applyProtection="1"/>
    <xf numFmtId="0" fontId="0" fillId="3" borderId="0" xfId="0" applyFill="1" applyBorder="1" applyProtection="1">
      <protection locked="0"/>
    </xf>
    <xf numFmtId="0" fontId="0" fillId="3" borderId="0" xfId="0" applyFill="1" applyProtection="1">
      <protection locked="0"/>
    </xf>
    <xf numFmtId="0" fontId="12" fillId="3" borderId="0" xfId="0" applyFont="1" applyFill="1" applyProtection="1">
      <protection locked="0"/>
    </xf>
    <xf numFmtId="0" fontId="14" fillId="3" borderId="0" xfId="0" applyFont="1" applyFill="1" applyProtection="1">
      <protection locked="0"/>
    </xf>
    <xf numFmtId="0" fontId="12" fillId="3" borderId="0" xfId="0" applyFont="1" applyFill="1" applyBorder="1" applyAlignment="1" applyProtection="1">
      <alignment horizontal="right"/>
      <protection locked="0"/>
    </xf>
    <xf numFmtId="43" fontId="22" fillId="0" borderId="0" xfId="0" applyNumberFormat="1" applyFont="1" applyAlignment="1" applyProtection="1">
      <alignment horizontal="center"/>
    </xf>
    <xf numFmtId="0" fontId="27" fillId="0" borderId="0" xfId="2" applyFont="1" applyFill="1" applyProtection="1">
      <protection locked="0"/>
    </xf>
    <xf numFmtId="0" fontId="28" fillId="0" borderId="0" xfId="2" applyFont="1" applyFill="1" applyProtection="1">
      <protection locked="0"/>
    </xf>
    <xf numFmtId="0" fontId="29" fillId="0" borderId="0" xfId="2" applyFont="1" applyFill="1" applyProtection="1">
      <protection locked="0"/>
    </xf>
    <xf numFmtId="43" fontId="29" fillId="0" borderId="0" xfId="2" applyNumberFormat="1" applyFont="1" applyFill="1" applyProtection="1"/>
    <xf numFmtId="43" fontId="27" fillId="0" borderId="0" xfId="2" applyNumberFormat="1" applyFont="1" applyFill="1" applyProtection="1"/>
    <xf numFmtId="43" fontId="27" fillId="0" borderId="0" xfId="2" applyNumberFormat="1" applyFont="1" applyFill="1" applyProtection="1">
      <protection locked="0"/>
    </xf>
    <xf numFmtId="0" fontId="31" fillId="0" borderId="0" xfId="0" applyFont="1" applyAlignment="1" applyProtection="1">
      <alignment horizontal="center"/>
    </xf>
    <xf numFmtId="1" fontId="0" fillId="0" borderId="18" xfId="1" applyNumberFormat="1" applyFont="1" applyBorder="1" applyProtection="1"/>
    <xf numFmtId="1" fontId="0" fillId="0" borderId="20" xfId="1" applyNumberFormat="1" applyFont="1" applyBorder="1" applyProtection="1"/>
    <xf numFmtId="0" fontId="2" fillId="0" borderId="21" xfId="0" applyFont="1" applyBorder="1" applyAlignment="1" applyProtection="1">
      <alignment horizontal="right"/>
    </xf>
    <xf numFmtId="1" fontId="2" fillId="0" borderId="23" xfId="1" applyNumberFormat="1" applyFont="1" applyBorder="1" applyProtection="1"/>
    <xf numFmtId="0" fontId="0" fillId="0" borderId="30" xfId="0" applyFont="1" applyBorder="1" applyProtection="1"/>
    <xf numFmtId="44" fontId="1" fillId="0" borderId="47" xfId="1" applyFont="1" applyBorder="1" applyProtection="1"/>
    <xf numFmtId="43" fontId="0" fillId="0" borderId="46" xfId="0" applyNumberFormat="1" applyBorder="1" applyAlignment="1" applyProtection="1">
      <alignment vertical="center"/>
    </xf>
    <xf numFmtId="0" fontId="14" fillId="0" borderId="0" xfId="0" applyFont="1" applyFill="1" applyBorder="1" applyProtection="1"/>
    <xf numFmtId="43" fontId="12" fillId="0" borderId="30" xfId="1" applyNumberFormat="1" applyFont="1" applyBorder="1" applyProtection="1"/>
    <xf numFmtId="0" fontId="0" fillId="0" borderId="20" xfId="0" applyBorder="1" applyProtection="1"/>
    <xf numFmtId="0" fontId="2" fillId="3" borderId="21" xfId="0" applyFont="1" applyFill="1" applyBorder="1" applyAlignment="1" applyProtection="1">
      <alignment horizontal="right"/>
    </xf>
    <xf numFmtId="41" fontId="2" fillId="3" borderId="23" xfId="0" applyNumberFormat="1" applyFont="1" applyFill="1" applyBorder="1" applyAlignment="1" applyProtection="1">
      <alignment horizontal="right"/>
    </xf>
    <xf numFmtId="0" fontId="23" fillId="0" borderId="0" xfId="0" applyFont="1" applyBorder="1" applyAlignment="1" applyProtection="1">
      <alignment horizontal="right"/>
    </xf>
    <xf numFmtId="43" fontId="21" fillId="0" borderId="0" xfId="0" applyNumberFormat="1" applyFont="1" applyBorder="1" applyProtection="1"/>
    <xf numFmtId="0" fontId="0" fillId="0" borderId="16" xfId="0" applyFill="1" applyBorder="1" applyProtection="1"/>
    <xf numFmtId="0" fontId="12" fillId="0" borderId="17" xfId="0" applyFont="1" applyFill="1" applyBorder="1" applyProtection="1"/>
    <xf numFmtId="0" fontId="0" fillId="0" borderId="19" xfId="0" applyFill="1" applyBorder="1" applyProtection="1"/>
    <xf numFmtId="0" fontId="12" fillId="0" borderId="9" xfId="0" applyFont="1" applyFill="1" applyBorder="1" applyProtection="1"/>
    <xf numFmtId="0" fontId="2" fillId="0" borderId="0" xfId="0" applyFont="1" applyProtection="1"/>
    <xf numFmtId="43" fontId="0" fillId="0" borderId="0" xfId="0" applyNumberFormat="1" applyProtection="1"/>
    <xf numFmtId="0" fontId="2" fillId="0" borderId="0" xfId="0" applyFont="1" applyAlignment="1" applyProtection="1">
      <alignment horizontal="center" vertical="center"/>
    </xf>
    <xf numFmtId="41" fontId="0" fillId="0" borderId="19" xfId="0" applyNumberFormat="1" applyBorder="1" applyProtection="1">
      <protection locked="0"/>
    </xf>
    <xf numFmtId="0" fontId="15" fillId="0" borderId="20" xfId="0" applyFont="1" applyBorder="1" applyAlignment="1" applyProtection="1">
      <alignment horizontal="left"/>
      <protection locked="0"/>
    </xf>
    <xf numFmtId="0" fontId="0" fillId="0" borderId="20" xfId="0" applyBorder="1" applyAlignment="1" applyProtection="1">
      <alignment horizontal="left"/>
      <protection locked="0"/>
    </xf>
    <xf numFmtId="41" fontId="2" fillId="0" borderId="21" xfId="0" applyNumberFormat="1" applyFont="1" applyBorder="1" applyProtection="1">
      <protection locked="0"/>
    </xf>
    <xf numFmtId="0" fontId="2" fillId="3" borderId="23" xfId="0" applyFont="1" applyFill="1" applyBorder="1" applyProtection="1">
      <protection locked="0"/>
    </xf>
    <xf numFmtId="41" fontId="2" fillId="3" borderId="23" xfId="0" applyNumberFormat="1" applyFont="1" applyFill="1" applyBorder="1" applyProtection="1"/>
    <xf numFmtId="2" fontId="12" fillId="3" borderId="54" xfId="0" applyNumberFormat="1" applyFont="1" applyFill="1" applyBorder="1" applyProtection="1">
      <protection locked="0"/>
    </xf>
    <xf numFmtId="0" fontId="21" fillId="0" borderId="0" xfId="0" applyFont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0" fontId="14" fillId="0" borderId="0" xfId="0" applyFont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left"/>
      <protection locked="0"/>
    </xf>
    <xf numFmtId="0" fontId="13" fillId="0" borderId="0" xfId="0" applyFont="1" applyBorder="1" applyProtection="1">
      <protection locked="0"/>
    </xf>
    <xf numFmtId="44" fontId="0" fillId="0" borderId="9" xfId="1" applyFont="1" applyBorder="1" applyProtection="1">
      <protection locked="0"/>
    </xf>
    <xf numFmtId="0" fontId="0" fillId="0" borderId="20" xfId="0" applyBorder="1" applyProtection="1">
      <protection locked="0"/>
    </xf>
    <xf numFmtId="44" fontId="0" fillId="0" borderId="46" xfId="1" applyFont="1" applyBorder="1" applyProtection="1">
      <protection locked="0"/>
    </xf>
    <xf numFmtId="43" fontId="12" fillId="0" borderId="47" xfId="0" applyNumberFormat="1" applyFont="1" applyBorder="1" applyProtection="1">
      <protection locked="0"/>
    </xf>
    <xf numFmtId="44" fontId="2" fillId="0" borderId="0" xfId="0" applyNumberFormat="1" applyFont="1" applyProtection="1"/>
    <xf numFmtId="44" fontId="21" fillId="0" borderId="0" xfId="1" applyFont="1" applyBorder="1" applyAlignment="1" applyProtection="1">
      <alignment horizontal="center" vertical="center"/>
      <protection locked="0"/>
    </xf>
    <xf numFmtId="0" fontId="12" fillId="0" borderId="30" xfId="0" applyFont="1" applyBorder="1" applyProtection="1">
      <protection locked="0"/>
    </xf>
    <xf numFmtId="0" fontId="12" fillId="0" borderId="47" xfId="0" applyFont="1" applyBorder="1" applyProtection="1">
      <protection locked="0"/>
    </xf>
    <xf numFmtId="43" fontId="12" fillId="0" borderId="23" xfId="0" applyNumberFormat="1" applyFont="1" applyBorder="1" applyProtection="1"/>
    <xf numFmtId="0" fontId="33" fillId="3" borderId="54" xfId="0" applyFont="1" applyFill="1" applyBorder="1" applyProtection="1">
      <protection locked="0"/>
    </xf>
    <xf numFmtId="43" fontId="2" fillId="0" borderId="47" xfId="0" applyNumberFormat="1" applyFont="1" applyBorder="1" applyAlignment="1" applyProtection="1">
      <alignment vertical="center"/>
    </xf>
    <xf numFmtId="0" fontId="14" fillId="0" borderId="47" xfId="0" applyFont="1" applyFill="1" applyBorder="1" applyProtection="1"/>
    <xf numFmtId="0" fontId="12" fillId="0" borderId="58" xfId="0" applyFont="1" applyBorder="1" applyProtection="1"/>
    <xf numFmtId="0" fontId="12" fillId="3" borderId="21" xfId="0" applyFont="1" applyFill="1" applyBorder="1" applyAlignment="1" applyProtection="1">
      <alignment horizontal="center"/>
      <protection locked="0"/>
    </xf>
    <xf numFmtId="0" fontId="12" fillId="3" borderId="22" xfId="0" applyFont="1" applyFill="1" applyBorder="1" applyAlignment="1" applyProtection="1">
      <alignment horizontal="center"/>
      <protection locked="0"/>
    </xf>
    <xf numFmtId="0" fontId="0" fillId="3" borderId="23" xfId="0" applyFont="1" applyFill="1" applyBorder="1" applyAlignment="1" applyProtection="1">
      <alignment horizontal="center"/>
      <protection locked="0"/>
    </xf>
    <xf numFmtId="4" fontId="2" fillId="0" borderId="0" xfId="0" applyNumberFormat="1" applyFont="1" applyProtection="1">
      <protection locked="0"/>
    </xf>
    <xf numFmtId="0" fontId="12" fillId="0" borderId="31" xfId="0" applyFont="1" applyBorder="1" applyProtection="1"/>
    <xf numFmtId="0" fontId="12" fillId="0" borderId="0" xfId="0" applyFont="1" applyBorder="1" applyProtection="1"/>
    <xf numFmtId="43" fontId="12" fillId="0" borderId="0" xfId="0" applyNumberFormat="1" applyFont="1" applyBorder="1" applyProtection="1"/>
    <xf numFmtId="43" fontId="13" fillId="0" borderId="48" xfId="0" applyNumberFormat="1" applyFont="1" applyFill="1" applyBorder="1" applyProtection="1"/>
    <xf numFmtId="44" fontId="0" fillId="0" borderId="9" xfId="1" applyFont="1" applyFill="1" applyBorder="1" applyProtection="1">
      <protection locked="0"/>
    </xf>
    <xf numFmtId="43" fontId="0" fillId="0" borderId="20" xfId="0" applyNumberFormat="1" applyFill="1" applyBorder="1" applyProtection="1">
      <protection locked="0"/>
    </xf>
    <xf numFmtId="44" fontId="0" fillId="0" borderId="29" xfId="1" applyFont="1" applyBorder="1" applyProtection="1">
      <protection locked="0"/>
    </xf>
    <xf numFmtId="43" fontId="0" fillId="0" borderId="62" xfId="0" applyNumberFormat="1" applyBorder="1" applyProtection="1">
      <protection locked="0"/>
    </xf>
    <xf numFmtId="44" fontId="0" fillId="0" borderId="0" xfId="0" applyNumberFormat="1" applyProtection="1"/>
    <xf numFmtId="0" fontId="2" fillId="4" borderId="16" xfId="0" applyFont="1" applyFill="1" applyBorder="1" applyProtection="1">
      <protection locked="0"/>
    </xf>
    <xf numFmtId="0" fontId="13" fillId="4" borderId="17" xfId="0" applyFont="1" applyFill="1" applyBorder="1" applyProtection="1">
      <protection locked="0"/>
    </xf>
    <xf numFmtId="0" fontId="12" fillId="4" borderId="17" xfId="0" applyFont="1" applyFill="1" applyBorder="1" applyProtection="1">
      <protection locked="0"/>
    </xf>
    <xf numFmtId="0" fontId="14" fillId="4" borderId="18" xfId="0" applyFont="1" applyFill="1" applyBorder="1" applyProtection="1">
      <protection locked="0"/>
    </xf>
    <xf numFmtId="0" fontId="2" fillId="5" borderId="30" xfId="0" applyFont="1" applyFill="1" applyBorder="1" applyProtection="1">
      <protection locked="0"/>
    </xf>
    <xf numFmtId="0" fontId="2" fillId="5" borderId="47" xfId="0" applyFont="1" applyFill="1" applyBorder="1" applyAlignment="1" applyProtection="1">
      <alignment horizontal="center"/>
      <protection locked="0"/>
    </xf>
    <xf numFmtId="0" fontId="12" fillId="0" borderId="9" xfId="0" applyFont="1" applyBorder="1" applyAlignment="1" applyProtection="1">
      <alignment horizontal="right"/>
      <protection locked="0"/>
    </xf>
    <xf numFmtId="2" fontId="14" fillId="0" borderId="20" xfId="0" applyNumberFormat="1" applyFont="1" applyFill="1" applyBorder="1" applyProtection="1">
      <protection locked="0"/>
    </xf>
    <xf numFmtId="2" fontId="12" fillId="0" borderId="24" xfId="0" applyNumberFormat="1" applyFont="1" applyBorder="1" applyProtection="1">
      <protection locked="0"/>
    </xf>
    <xf numFmtId="0" fontId="12" fillId="0" borderId="26" xfId="0" applyFont="1" applyBorder="1" applyProtection="1">
      <protection locked="0"/>
    </xf>
    <xf numFmtId="2" fontId="12" fillId="0" borderId="19" xfId="0" applyNumberFormat="1" applyFont="1" applyBorder="1" applyProtection="1">
      <protection locked="0"/>
    </xf>
    <xf numFmtId="0" fontId="12" fillId="0" borderId="20" xfId="0" applyFont="1" applyBorder="1" applyProtection="1">
      <protection locked="0"/>
    </xf>
    <xf numFmtId="0" fontId="30" fillId="0" borderId="22" xfId="0" applyFont="1" applyBorder="1" applyAlignment="1" applyProtection="1">
      <alignment horizontal="right"/>
      <protection locked="0"/>
    </xf>
    <xf numFmtId="9" fontId="12" fillId="0" borderId="22" xfId="5" applyFont="1" applyBorder="1" applyProtection="1">
      <protection locked="0"/>
    </xf>
    <xf numFmtId="9" fontId="14" fillId="0" borderId="23" xfId="5" applyFont="1" applyFill="1" applyBorder="1" applyProtection="1">
      <protection locked="0"/>
    </xf>
    <xf numFmtId="9" fontId="12" fillId="0" borderId="21" xfId="0" applyNumberFormat="1" applyFont="1" applyBorder="1" applyProtection="1">
      <protection locked="0"/>
    </xf>
    <xf numFmtId="2" fontId="12" fillId="0" borderId="18" xfId="0" applyNumberFormat="1" applyFont="1" applyBorder="1" applyProtection="1">
      <protection locked="0"/>
    </xf>
    <xf numFmtId="0" fontId="12" fillId="0" borderId="19" xfId="0" applyFont="1" applyBorder="1" applyProtection="1">
      <protection locked="0"/>
    </xf>
    <xf numFmtId="2" fontId="12" fillId="0" borderId="20" xfId="0" applyNumberFormat="1" applyFont="1" applyBorder="1" applyProtection="1">
      <protection locked="0"/>
    </xf>
    <xf numFmtId="0" fontId="12" fillId="0" borderId="21" xfId="0" applyFont="1" applyBorder="1" applyProtection="1">
      <protection locked="0"/>
    </xf>
    <xf numFmtId="9" fontId="12" fillId="0" borderId="23" xfId="0" applyNumberFormat="1" applyFont="1" applyBorder="1" applyProtection="1">
      <protection locked="0"/>
    </xf>
    <xf numFmtId="0" fontId="13" fillId="3" borderId="64" xfId="0" applyFont="1" applyFill="1" applyBorder="1" applyAlignment="1" applyProtection="1">
      <alignment horizontal="center" textRotation="90" wrapText="1"/>
    </xf>
    <xf numFmtId="0" fontId="13" fillId="3" borderId="65" xfId="0" applyFont="1" applyFill="1" applyBorder="1" applyAlignment="1" applyProtection="1">
      <alignment horizontal="center" textRotation="90" wrapText="1"/>
    </xf>
    <xf numFmtId="0" fontId="0" fillId="0" borderId="0" xfId="0" applyAlignment="1" applyProtection="1">
      <alignment wrapText="1"/>
      <protection locked="0"/>
    </xf>
    <xf numFmtId="0" fontId="2" fillId="3" borderId="64" xfId="0" applyFont="1" applyFill="1" applyBorder="1" applyAlignment="1" applyProtection="1">
      <alignment horizontal="center" textRotation="90" wrapText="1"/>
    </xf>
    <xf numFmtId="165" fontId="3" fillId="0" borderId="16" xfId="2" applyNumberFormat="1" applyFont="1" applyFill="1" applyBorder="1" applyProtection="1"/>
    <xf numFmtId="43" fontId="15" fillId="0" borderId="17" xfId="0" applyNumberFormat="1" applyFont="1" applyBorder="1" applyProtection="1"/>
    <xf numFmtId="43" fontId="15" fillId="0" borderId="9" xfId="0" applyNumberFormat="1" applyFont="1" applyBorder="1" applyProtection="1"/>
    <xf numFmtId="43" fontId="15" fillId="0" borderId="22" xfId="0" applyNumberFormat="1" applyFont="1" applyBorder="1" applyProtection="1"/>
    <xf numFmtId="43" fontId="15" fillId="0" borderId="18" xfId="0" applyNumberFormat="1" applyFont="1" applyBorder="1" applyProtection="1"/>
    <xf numFmtId="43" fontId="15" fillId="0" borderId="20" xfId="0" applyNumberFormat="1" applyFont="1" applyBorder="1" applyProtection="1"/>
    <xf numFmtId="43" fontId="15" fillId="0" borderId="23" xfId="0" applyNumberFormat="1" applyFont="1" applyBorder="1" applyProtection="1"/>
    <xf numFmtId="0" fontId="15" fillId="0" borderId="0" xfId="0" applyFont="1" applyProtection="1">
      <protection locked="0"/>
    </xf>
    <xf numFmtId="0" fontId="15" fillId="0" borderId="16" xfId="0" applyFont="1" applyBorder="1" applyProtection="1"/>
    <xf numFmtId="0" fontId="15" fillId="0" borderId="19" xfId="0" applyFont="1" applyBorder="1" applyProtection="1"/>
    <xf numFmtId="0" fontId="15" fillId="0" borderId="21" xfId="0" applyFont="1" applyBorder="1" applyProtection="1"/>
    <xf numFmtId="0" fontId="15" fillId="0" borderId="17" xfId="0" applyFont="1" applyBorder="1" applyProtection="1"/>
    <xf numFmtId="0" fontId="15" fillId="0" borderId="9" xfId="0" applyFont="1" applyBorder="1" applyProtection="1"/>
    <xf numFmtId="0" fontId="15" fillId="0" borderId="22" xfId="0" applyFont="1" applyBorder="1" applyProtection="1"/>
    <xf numFmtId="0" fontId="15" fillId="0" borderId="18" xfId="0" applyFont="1" applyBorder="1" applyProtection="1"/>
    <xf numFmtId="0" fontId="15" fillId="0" borderId="20" xfId="0" applyFont="1" applyBorder="1" applyProtection="1"/>
    <xf numFmtId="0" fontId="15" fillId="0" borderId="20" xfId="0" applyFont="1" applyBorder="1" applyAlignment="1" applyProtection="1">
      <alignment horizontal="right"/>
    </xf>
    <xf numFmtId="0" fontId="15" fillId="0" borderId="23" xfId="0" applyFont="1" applyBorder="1" applyProtection="1"/>
    <xf numFmtId="0" fontId="15" fillId="0" borderId="66" xfId="0" applyFont="1" applyBorder="1" applyProtection="1"/>
    <xf numFmtId="0" fontId="15" fillId="0" borderId="67" xfId="0" applyFont="1" applyBorder="1" applyProtection="1"/>
    <xf numFmtId="0" fontId="15" fillId="0" borderId="68" xfId="0" applyFont="1" applyBorder="1" applyProtection="1"/>
    <xf numFmtId="165" fontId="3" fillId="0" borderId="19" xfId="2" applyNumberFormat="1" applyFont="1" applyFill="1" applyBorder="1" applyProtection="1"/>
    <xf numFmtId="165" fontId="3" fillId="0" borderId="21" xfId="2" applyNumberFormat="1" applyFont="1" applyFill="1" applyBorder="1" applyProtection="1"/>
    <xf numFmtId="0" fontId="2" fillId="3" borderId="30" xfId="0" applyFont="1" applyFill="1" applyBorder="1" applyProtection="1"/>
    <xf numFmtId="0" fontId="2" fillId="3" borderId="46" xfId="0" applyFont="1" applyFill="1" applyBorder="1" applyProtection="1"/>
    <xf numFmtId="43" fontId="13" fillId="3" borderId="46" xfId="0" applyNumberFormat="1" applyFont="1" applyFill="1" applyBorder="1" applyProtection="1"/>
    <xf numFmtId="43" fontId="13" fillId="3" borderId="47" xfId="0" applyNumberFormat="1" applyFont="1" applyFill="1" applyBorder="1" applyProtection="1"/>
    <xf numFmtId="1" fontId="13" fillId="3" borderId="30" xfId="0" applyNumberFormat="1" applyFont="1" applyFill="1" applyBorder="1" applyProtection="1"/>
    <xf numFmtId="1" fontId="13" fillId="3" borderId="46" xfId="0" applyNumberFormat="1" applyFont="1" applyFill="1" applyBorder="1" applyProtection="1"/>
    <xf numFmtId="1" fontId="13" fillId="3" borderId="47" xfId="0" applyNumberFormat="1" applyFont="1" applyFill="1" applyBorder="1" applyProtection="1"/>
    <xf numFmtId="0" fontId="13" fillId="3" borderId="64" xfId="0" applyFont="1" applyFill="1" applyBorder="1" applyProtection="1"/>
    <xf numFmtId="0" fontId="34" fillId="0" borderId="0" xfId="0" applyFont="1" applyProtection="1">
      <protection locked="0"/>
    </xf>
    <xf numFmtId="0" fontId="34" fillId="0" borderId="69" xfId="0" applyFont="1" applyBorder="1" applyProtection="1">
      <protection locked="0"/>
    </xf>
    <xf numFmtId="0" fontId="35" fillId="0" borderId="0" xfId="0" applyFont="1" applyProtection="1">
      <protection locked="0"/>
    </xf>
    <xf numFmtId="0" fontId="36" fillId="0" borderId="0" xfId="0" applyFont="1" applyProtection="1">
      <protection locked="0"/>
    </xf>
    <xf numFmtId="43" fontId="37" fillId="0" borderId="17" xfId="2" applyNumberFormat="1" applyFont="1" applyFill="1" applyBorder="1" applyProtection="1"/>
    <xf numFmtId="43" fontId="38" fillId="0" borderId="9" xfId="2" applyNumberFormat="1" applyFont="1" applyFill="1" applyBorder="1" applyProtection="1"/>
    <xf numFmtId="43" fontId="38" fillId="0" borderId="22" xfId="2" applyNumberFormat="1" applyFont="1" applyFill="1" applyBorder="1" applyProtection="1"/>
    <xf numFmtId="0" fontId="12" fillId="3" borderId="56" xfId="0" applyFont="1" applyFill="1" applyBorder="1" applyAlignment="1" applyProtection="1">
      <alignment horizontal="center"/>
      <protection locked="0"/>
    </xf>
    <xf numFmtId="0" fontId="12" fillId="3" borderId="70" xfId="0" applyFont="1" applyFill="1" applyBorder="1" applyAlignment="1" applyProtection="1">
      <alignment horizontal="center"/>
      <protection locked="0"/>
    </xf>
    <xf numFmtId="0" fontId="0" fillId="3" borderId="71" xfId="0" applyFont="1" applyFill="1" applyBorder="1" applyAlignment="1" applyProtection="1">
      <alignment horizontal="center"/>
      <protection locked="0"/>
    </xf>
    <xf numFmtId="0" fontId="0" fillId="0" borderId="28" xfId="0" applyBorder="1" applyProtection="1"/>
    <xf numFmtId="0" fontId="12" fillId="0" borderId="29" xfId="0" applyFont="1" applyBorder="1" applyProtection="1"/>
    <xf numFmtId="44" fontId="0" fillId="0" borderId="29" xfId="1" applyFont="1" applyFill="1" applyBorder="1" applyProtection="1">
      <protection locked="0"/>
    </xf>
    <xf numFmtId="43" fontId="0" fillId="0" borderId="62" xfId="0" applyNumberFormat="1" applyFill="1" applyBorder="1" applyProtection="1">
      <protection locked="0"/>
    </xf>
    <xf numFmtId="43" fontId="12" fillId="0" borderId="21" xfId="0" applyNumberFormat="1" applyFont="1" applyBorder="1"/>
    <xf numFmtId="43" fontId="12" fillId="0" borderId="22" xfId="0" applyNumberFormat="1" applyFont="1" applyBorder="1"/>
    <xf numFmtId="0" fontId="0" fillId="0" borderId="16" xfId="0" applyFont="1" applyBorder="1" applyProtection="1"/>
    <xf numFmtId="0" fontId="0" fillId="0" borderId="19" xfId="0" applyFont="1" applyBorder="1" applyProtection="1"/>
    <xf numFmtId="0" fontId="0" fillId="0" borderId="21" xfId="0" applyFont="1" applyBorder="1"/>
    <xf numFmtId="0" fontId="0" fillId="6" borderId="36" xfId="0" applyFill="1" applyBorder="1" applyProtection="1">
      <protection locked="0"/>
    </xf>
    <xf numFmtId="0" fontId="12" fillId="6" borderId="37" xfId="0" applyFont="1" applyFill="1" applyBorder="1" applyProtection="1">
      <protection locked="0"/>
    </xf>
    <xf numFmtId="43" fontId="12" fillId="6" borderId="33" xfId="0" applyNumberFormat="1" applyFont="1" applyFill="1" applyBorder="1" applyProtection="1">
      <protection locked="0"/>
    </xf>
    <xf numFmtId="43" fontId="12" fillId="6" borderId="9" xfId="0" applyNumberFormat="1" applyFont="1" applyFill="1" applyBorder="1" applyProtection="1">
      <protection locked="0"/>
    </xf>
    <xf numFmtId="43" fontId="14" fillId="6" borderId="26" xfId="0" applyNumberFormat="1" applyFont="1" applyFill="1" applyBorder="1" applyProtection="1"/>
    <xf numFmtId="0" fontId="14" fillId="6" borderId="0" xfId="0" applyFont="1" applyFill="1" applyBorder="1" applyProtection="1">
      <protection locked="0"/>
    </xf>
    <xf numFmtId="0" fontId="21" fillId="0" borderId="0" xfId="0" applyFont="1" applyAlignment="1" applyProtection="1">
      <alignment horizontal="center"/>
      <protection locked="0"/>
    </xf>
    <xf numFmtId="43" fontId="13" fillId="0" borderId="0" xfId="0" applyNumberFormat="1" applyFont="1" applyBorder="1" applyProtection="1">
      <protection locked="0"/>
    </xf>
    <xf numFmtId="4" fontId="2" fillId="0" borderId="0" xfId="0" applyNumberFormat="1" applyFont="1" applyAlignment="1" applyProtection="1">
      <alignment horizontal="right"/>
    </xf>
    <xf numFmtId="44" fontId="0" fillId="0" borderId="62" xfId="0" applyNumberFormat="1" applyBorder="1" applyProtection="1"/>
    <xf numFmtId="43" fontId="33" fillId="0" borderId="29" xfId="0" applyNumberFormat="1" applyFont="1" applyFill="1" applyBorder="1" applyProtection="1">
      <protection locked="0"/>
    </xf>
    <xf numFmtId="43" fontId="39" fillId="0" borderId="29" xfId="0" applyNumberFormat="1" applyFont="1" applyFill="1" applyBorder="1" applyProtection="1">
      <protection locked="0"/>
    </xf>
    <xf numFmtId="43" fontId="33" fillId="0" borderId="22" xfId="0" applyNumberFormat="1" applyFont="1" applyFill="1" applyBorder="1" applyProtection="1">
      <protection locked="0"/>
    </xf>
    <xf numFmtId="4" fontId="16" fillId="7" borderId="0" xfId="2" applyNumberFormat="1" applyFont="1" applyFill="1" applyProtection="1">
      <protection locked="0"/>
    </xf>
    <xf numFmtId="0" fontId="16" fillId="7" borderId="0" xfId="2" applyNumberFormat="1" applyFont="1" applyFill="1" applyProtection="1">
      <protection locked="0"/>
    </xf>
    <xf numFmtId="165" fontId="16" fillId="7" borderId="0" xfId="2" applyNumberFormat="1" applyFont="1" applyFill="1" applyProtection="1">
      <protection locked="0"/>
    </xf>
    <xf numFmtId="44" fontId="0" fillId="0" borderId="25" xfId="1" applyFont="1" applyFill="1" applyBorder="1" applyProtection="1">
      <protection locked="0"/>
    </xf>
    <xf numFmtId="43" fontId="0" fillId="0" borderId="26" xfId="0" applyNumberFormat="1" applyFill="1" applyBorder="1" applyProtection="1">
      <protection locked="0"/>
    </xf>
    <xf numFmtId="0" fontId="0" fillId="0" borderId="20" xfId="0" applyFill="1" applyBorder="1" applyProtection="1">
      <protection locked="0"/>
    </xf>
    <xf numFmtId="43" fontId="41" fillId="0" borderId="29" xfId="0" applyNumberFormat="1" applyFont="1" applyFill="1" applyBorder="1" applyProtection="1">
      <protection locked="0"/>
    </xf>
    <xf numFmtId="43" fontId="42" fillId="0" borderId="9" xfId="0" applyNumberFormat="1" applyFont="1" applyFill="1" applyBorder="1" applyProtection="1">
      <protection locked="0"/>
    </xf>
    <xf numFmtId="43" fontId="41" fillId="0" borderId="17" xfId="0" applyNumberFormat="1" applyFont="1" applyFill="1" applyBorder="1" applyProtection="1">
      <protection locked="0"/>
    </xf>
    <xf numFmtId="43" fontId="42" fillId="0" borderId="17" xfId="0" applyNumberFormat="1" applyFont="1" applyFill="1" applyBorder="1" applyProtection="1">
      <protection locked="0"/>
    </xf>
    <xf numFmtId="0" fontId="0" fillId="0" borderId="17" xfId="0" applyBorder="1" applyProtection="1"/>
    <xf numFmtId="43" fontId="0" fillId="0" borderId="18" xfId="0" applyNumberFormat="1" applyBorder="1" applyProtection="1"/>
    <xf numFmtId="0" fontId="0" fillId="0" borderId="9" xfId="0" applyBorder="1" applyProtection="1"/>
    <xf numFmtId="0" fontId="0" fillId="0" borderId="22" xfId="0" applyBorder="1" applyAlignment="1" applyProtection="1">
      <alignment shrinkToFit="1"/>
    </xf>
    <xf numFmtId="43" fontId="0" fillId="0" borderId="20" xfId="0" applyNumberFormat="1" applyBorder="1" applyProtection="1"/>
    <xf numFmtId="43" fontId="0" fillId="0" borderId="23" xfId="0" applyNumberFormat="1" applyBorder="1" applyProtection="1"/>
    <xf numFmtId="0" fontId="23" fillId="0" borderId="70" xfId="0" applyFont="1" applyFill="1" applyBorder="1" applyAlignment="1" applyProtection="1">
      <alignment horizontal="right"/>
    </xf>
    <xf numFmtId="43" fontId="21" fillId="0" borderId="0" xfId="0" applyNumberFormat="1" applyFont="1" applyProtection="1"/>
    <xf numFmtId="0" fontId="23" fillId="0" borderId="0" xfId="0" applyFont="1" applyFill="1" applyBorder="1" applyAlignment="1" applyProtection="1">
      <alignment horizontal="right"/>
    </xf>
    <xf numFmtId="0" fontId="43" fillId="0" borderId="0" xfId="0" applyFont="1" applyFill="1" applyBorder="1" applyAlignment="1" applyProtection="1">
      <alignment horizontal="right"/>
    </xf>
    <xf numFmtId="43" fontId="43" fillId="0" borderId="0" xfId="0" applyNumberFormat="1" applyFont="1" applyBorder="1" applyProtection="1"/>
    <xf numFmtId="0" fontId="0" fillId="0" borderId="62" xfId="0" applyBorder="1" applyAlignment="1" applyProtection="1">
      <alignment horizontal="left"/>
      <protection locked="0"/>
    </xf>
    <xf numFmtId="41" fontId="0" fillId="0" borderId="28" xfId="0" applyNumberFormat="1" applyBorder="1" applyProtection="1">
      <protection locked="0"/>
    </xf>
    <xf numFmtId="41" fontId="21" fillId="0" borderId="48" xfId="0" applyNumberFormat="1" applyFont="1" applyBorder="1" applyProtection="1"/>
    <xf numFmtId="0" fontId="15" fillId="0" borderId="59" xfId="0" applyFont="1" applyBorder="1" applyAlignment="1" applyProtection="1">
      <alignment horizontal="right"/>
    </xf>
    <xf numFmtId="41" fontId="21" fillId="0" borderId="75" xfId="0" applyNumberFormat="1" applyFont="1" applyBorder="1" applyProtection="1"/>
    <xf numFmtId="41" fontId="0" fillId="0" borderId="76" xfId="0" applyNumberFormat="1" applyBorder="1" applyProtection="1"/>
    <xf numFmtId="41" fontId="0" fillId="0" borderId="77" xfId="0" applyNumberFormat="1" applyBorder="1" applyProtection="1"/>
    <xf numFmtId="43" fontId="13" fillId="0" borderId="22" xfId="0" applyNumberFormat="1" applyFont="1" applyBorder="1" applyProtection="1"/>
    <xf numFmtId="0" fontId="13" fillId="0" borderId="21" xfId="0" applyFont="1" applyBorder="1" applyProtection="1"/>
    <xf numFmtId="43" fontId="13" fillId="0" borderId="17" xfId="0" applyNumberFormat="1" applyFont="1" applyBorder="1" applyProtection="1"/>
    <xf numFmtId="0" fontId="13" fillId="0" borderId="17" xfId="0" applyFont="1" applyBorder="1" applyProtection="1"/>
    <xf numFmtId="0" fontId="13" fillId="0" borderId="16" xfId="0" applyFont="1" applyBorder="1" applyProtection="1"/>
    <xf numFmtId="43" fontId="14" fillId="0" borderId="68" xfId="0" applyNumberFormat="1" applyFont="1" applyFill="1" applyBorder="1" applyProtection="1"/>
    <xf numFmtId="43" fontId="14" fillId="0" borderId="67" xfId="0" applyNumberFormat="1" applyFont="1" applyFill="1" applyBorder="1" applyProtection="1"/>
    <xf numFmtId="43" fontId="14" fillId="0" borderId="78" xfId="0" applyNumberFormat="1" applyFont="1" applyFill="1" applyBorder="1" applyProtection="1"/>
    <xf numFmtId="0" fontId="14" fillId="3" borderId="79" xfId="0" applyFont="1" applyFill="1" applyBorder="1" applyProtection="1">
      <protection locked="0"/>
    </xf>
    <xf numFmtId="43" fontId="44" fillId="0" borderId="26" xfId="0" applyNumberFormat="1" applyFont="1" applyFill="1" applyBorder="1" applyProtection="1"/>
    <xf numFmtId="43" fontId="30" fillId="0" borderId="35" xfId="0" applyNumberFormat="1" applyFont="1" applyBorder="1" applyProtection="1"/>
    <xf numFmtId="0" fontId="30" fillId="0" borderId="39" xfId="0" applyFont="1" applyBorder="1" applyProtection="1"/>
    <xf numFmtId="0" fontId="12" fillId="0" borderId="65" xfId="0" applyFont="1" applyFill="1" applyBorder="1" applyProtection="1">
      <protection locked="0"/>
    </xf>
    <xf numFmtId="0" fontId="0" fillId="0" borderId="80" xfId="0" applyFill="1" applyBorder="1" applyProtection="1">
      <protection locked="0"/>
    </xf>
    <xf numFmtId="43" fontId="12" fillId="0" borderId="34" xfId="0" applyNumberFormat="1" applyFont="1" applyBorder="1" applyProtection="1"/>
    <xf numFmtId="43" fontId="44" fillId="0" borderId="18" xfId="0" applyNumberFormat="1" applyFont="1" applyFill="1" applyBorder="1" applyProtection="1"/>
    <xf numFmtId="43" fontId="12" fillId="0" borderId="81" xfId="0" applyNumberFormat="1" applyFont="1" applyBorder="1" applyProtection="1"/>
    <xf numFmtId="43" fontId="12" fillId="0" borderId="82" xfId="0" applyNumberFormat="1" applyFont="1" applyBorder="1" applyProtection="1"/>
    <xf numFmtId="0" fontId="12" fillId="0" borderId="83" xfId="0" applyFont="1" applyFill="1" applyBorder="1" applyProtection="1"/>
    <xf numFmtId="0" fontId="0" fillId="0" borderId="84" xfId="0" applyFill="1" applyBorder="1" applyProtection="1"/>
    <xf numFmtId="43" fontId="44" fillId="0" borderId="71" xfId="0" applyNumberFormat="1" applyFont="1" applyFill="1" applyBorder="1" applyProtection="1"/>
    <xf numFmtId="43" fontId="30" fillId="0" borderId="29" xfId="0" applyNumberFormat="1" applyFont="1" applyBorder="1" applyProtection="1"/>
    <xf numFmtId="0" fontId="30" fillId="0" borderId="65" xfId="0" applyFont="1" applyFill="1" applyBorder="1" applyProtection="1"/>
    <xf numFmtId="0" fontId="0" fillId="0" borderId="80" xfId="0" applyFill="1" applyBorder="1" applyProtection="1"/>
    <xf numFmtId="43" fontId="12" fillId="0" borderId="16" xfId="0" applyNumberFormat="1" applyFont="1" applyFill="1" applyBorder="1" applyProtection="1"/>
    <xf numFmtId="43" fontId="12" fillId="0" borderId="17" xfId="0" applyNumberFormat="1" applyFont="1" applyFill="1" applyBorder="1" applyProtection="1"/>
    <xf numFmtId="43" fontId="12" fillId="0" borderId="19" xfId="0" applyNumberFormat="1" applyFont="1" applyFill="1" applyBorder="1" applyProtection="1"/>
    <xf numFmtId="43" fontId="12" fillId="0" borderId="9" xfId="0" applyNumberFormat="1" applyFont="1" applyFill="1" applyBorder="1" applyProtection="1"/>
    <xf numFmtId="0" fontId="23" fillId="0" borderId="19" xfId="0" applyFont="1" applyBorder="1" applyAlignment="1" applyProtection="1">
      <alignment horizontal="right"/>
    </xf>
    <xf numFmtId="41" fontId="21" fillId="0" borderId="29" xfId="0" applyNumberFormat="1" applyFont="1" applyBorder="1" applyProtection="1"/>
    <xf numFmtId="41" fontId="21" fillId="0" borderId="9" xfId="0" applyNumberFormat="1" applyFont="1" applyBorder="1" applyProtection="1"/>
    <xf numFmtId="41" fontId="21" fillId="0" borderId="20" xfId="0" applyNumberFormat="1" applyFont="1" applyBorder="1" applyProtection="1"/>
    <xf numFmtId="0" fontId="23" fillId="0" borderId="28" xfId="0" applyFont="1" applyBorder="1" applyAlignment="1" applyProtection="1">
      <alignment horizontal="right"/>
    </xf>
    <xf numFmtId="0" fontId="13" fillId="0" borderId="0" xfId="0" applyFont="1" applyBorder="1" applyProtection="1"/>
    <xf numFmtId="43" fontId="13" fillId="0" borderId="0" xfId="0" applyNumberFormat="1" applyFont="1" applyBorder="1" applyProtection="1"/>
    <xf numFmtId="43" fontId="14" fillId="0" borderId="0" xfId="0" applyNumberFormat="1" applyFont="1" applyFill="1" applyBorder="1" applyProtection="1"/>
    <xf numFmtId="0" fontId="13" fillId="0" borderId="72" xfId="0" applyFont="1" applyBorder="1" applyProtection="1"/>
    <xf numFmtId="0" fontId="13" fillId="0" borderId="73" xfId="0" applyFont="1" applyBorder="1" applyProtection="1"/>
    <xf numFmtId="43" fontId="13" fillId="0" borderId="73" xfId="0" applyNumberFormat="1" applyFont="1" applyBorder="1" applyProtection="1"/>
    <xf numFmtId="43" fontId="14" fillId="0" borderId="64" xfId="0" applyNumberFormat="1" applyFont="1" applyFill="1" applyBorder="1" applyProtection="1"/>
    <xf numFmtId="43" fontId="12" fillId="0" borderId="17" xfId="0" applyNumberFormat="1" applyFont="1" applyFill="1" applyBorder="1" applyAlignment="1" applyProtection="1">
      <alignment horizontal="center"/>
      <protection locked="0"/>
    </xf>
    <xf numFmtId="43" fontId="0" fillId="0" borderId="18" xfId="0" applyNumberFormat="1" applyFont="1" applyFill="1" applyBorder="1" applyAlignment="1" applyProtection="1">
      <alignment horizontal="center"/>
      <protection locked="0"/>
    </xf>
    <xf numFmtId="0" fontId="12" fillId="0" borderId="18" xfId="0" applyFont="1" applyBorder="1" applyProtection="1"/>
    <xf numFmtId="0" fontId="12" fillId="0" borderId="20" xfId="0" applyFont="1" applyBorder="1" applyProtection="1"/>
    <xf numFmtId="0" fontId="12" fillId="0" borderId="23" xfId="0" applyFont="1" applyBorder="1"/>
    <xf numFmtId="0" fontId="0" fillId="0" borderId="57" xfId="0" applyBorder="1" applyProtection="1"/>
    <xf numFmtId="0" fontId="12" fillId="0" borderId="85" xfId="0" applyFont="1" applyBorder="1" applyProtection="1"/>
    <xf numFmtId="43" fontId="12" fillId="0" borderId="18" xfId="0" applyNumberFormat="1" applyFont="1" applyBorder="1" applyProtection="1"/>
    <xf numFmtId="43" fontId="12" fillId="0" borderId="20" xfId="0" applyNumberFormat="1" applyFont="1" applyBorder="1" applyProtection="1"/>
    <xf numFmtId="43" fontId="12" fillId="0" borderId="23" xfId="0" applyNumberFormat="1" applyFont="1" applyBorder="1"/>
    <xf numFmtId="43" fontId="12" fillId="0" borderId="85" xfId="0" applyNumberFormat="1" applyFont="1" applyBorder="1" applyProtection="1"/>
    <xf numFmtId="43" fontId="14" fillId="0" borderId="75" xfId="0" applyNumberFormat="1" applyFont="1" applyFill="1" applyBorder="1" applyProtection="1"/>
    <xf numFmtId="0" fontId="12" fillId="0" borderId="62" xfId="0" applyFont="1" applyBorder="1" applyProtection="1"/>
    <xf numFmtId="43" fontId="12" fillId="0" borderId="28" xfId="0" applyNumberFormat="1" applyFont="1" applyFill="1" applyBorder="1" applyProtection="1"/>
    <xf numFmtId="43" fontId="12" fillId="0" borderId="29" xfId="0" applyNumberFormat="1" applyFont="1" applyFill="1" applyBorder="1" applyProtection="1"/>
    <xf numFmtId="43" fontId="12" fillId="0" borderId="62" xfId="0" applyNumberFormat="1" applyFont="1" applyBorder="1" applyProtection="1"/>
    <xf numFmtId="0" fontId="0" fillId="0" borderId="30" xfId="0" applyFill="1" applyBorder="1" applyProtection="1"/>
    <xf numFmtId="0" fontId="0" fillId="0" borderId="0" xfId="0" applyFill="1" applyProtection="1">
      <protection locked="0"/>
    </xf>
    <xf numFmtId="2" fontId="12" fillId="0" borderId="58" xfId="0" applyNumberFormat="1" applyFont="1" applyBorder="1" applyProtection="1"/>
    <xf numFmtId="2" fontId="14" fillId="0" borderId="47" xfId="0" applyNumberFormat="1" applyFont="1" applyFill="1" applyBorder="1" applyProtection="1"/>
    <xf numFmtId="0" fontId="0" fillId="0" borderId="24" xfId="0" applyBorder="1" applyProtection="1">
      <protection locked="0"/>
    </xf>
    <xf numFmtId="0" fontId="12" fillId="0" borderId="25" xfId="0" applyFont="1" applyBorder="1" applyProtection="1">
      <protection locked="0"/>
    </xf>
    <xf numFmtId="43" fontId="1" fillId="0" borderId="26" xfId="1" applyNumberFormat="1" applyFont="1" applyBorder="1" applyProtection="1"/>
    <xf numFmtId="43" fontId="21" fillId="0" borderId="86" xfId="0" applyNumberFormat="1" applyFont="1" applyBorder="1" applyProtection="1">
      <protection locked="0"/>
    </xf>
    <xf numFmtId="43" fontId="12" fillId="0" borderId="72" xfId="0" applyNumberFormat="1" applyFont="1" applyBorder="1" applyProtection="1"/>
    <xf numFmtId="43" fontId="12" fillId="0" borderId="73" xfId="0" applyNumberFormat="1" applyFont="1" applyBorder="1" applyProtection="1"/>
    <xf numFmtId="43" fontId="12" fillId="0" borderId="87" xfId="0" applyNumberFormat="1" applyFont="1" applyBorder="1" applyProtection="1"/>
    <xf numFmtId="43" fontId="12" fillId="7" borderId="19" xfId="0" applyNumberFormat="1" applyFont="1" applyFill="1" applyBorder="1" applyProtection="1"/>
    <xf numFmtId="43" fontId="13" fillId="7" borderId="73" xfId="0" applyNumberFormat="1" applyFont="1" applyFill="1" applyBorder="1" applyProtection="1"/>
    <xf numFmtId="43" fontId="12" fillId="7" borderId="9" xfId="0" applyNumberFormat="1" applyFont="1" applyFill="1" applyBorder="1" applyProtection="1"/>
    <xf numFmtId="43" fontId="41" fillId="7" borderId="9" xfId="0" applyNumberFormat="1" applyFont="1" applyFill="1" applyBorder="1" applyProtection="1">
      <protection locked="0"/>
    </xf>
    <xf numFmtId="2" fontId="12" fillId="7" borderId="46" xfId="0" applyNumberFormat="1" applyFont="1" applyFill="1" applyBorder="1" applyProtection="1"/>
    <xf numFmtId="43" fontId="33" fillId="7" borderId="29" xfId="0" applyNumberFormat="1" applyFont="1" applyFill="1" applyBorder="1" applyProtection="1">
      <protection locked="0"/>
    </xf>
    <xf numFmtId="43" fontId="45" fillId="0" borderId="9" xfId="0" applyNumberFormat="1" applyFont="1" applyBorder="1" applyProtection="1"/>
    <xf numFmtId="43" fontId="42" fillId="0" borderId="73" xfId="0" applyNumberFormat="1" applyFont="1" applyBorder="1" applyProtection="1"/>
    <xf numFmtId="43" fontId="45" fillId="7" borderId="9" xfId="0" applyNumberFormat="1" applyFont="1" applyFill="1" applyBorder="1" applyProtection="1"/>
    <xf numFmtId="43" fontId="42" fillId="7" borderId="73" xfId="0" applyNumberFormat="1" applyFont="1" applyFill="1" applyBorder="1" applyProtection="1"/>
    <xf numFmtId="43" fontId="42" fillId="7" borderId="9" xfId="0" applyNumberFormat="1" applyFont="1" applyFill="1" applyBorder="1" applyProtection="1">
      <protection locked="0"/>
    </xf>
    <xf numFmtId="2" fontId="45" fillId="7" borderId="46" xfId="0" applyNumberFormat="1" applyFont="1" applyFill="1" applyBorder="1" applyProtection="1"/>
    <xf numFmtId="43" fontId="45" fillId="0" borderId="17" xfId="0" applyNumberFormat="1" applyFont="1" applyBorder="1" applyProtection="1"/>
    <xf numFmtId="4" fontId="4" fillId="0" borderId="1" xfId="2" quotePrefix="1" applyNumberFormat="1" applyFont="1" applyFill="1" applyBorder="1" applyAlignment="1" applyProtection="1">
      <alignment horizontal="center"/>
      <protection locked="0"/>
    </xf>
    <xf numFmtId="4" fontId="4" fillId="0" borderId="2" xfId="2" quotePrefix="1" applyNumberFormat="1" applyFont="1" applyFill="1" applyBorder="1" applyAlignment="1" applyProtection="1">
      <alignment horizontal="center"/>
      <protection locked="0"/>
    </xf>
    <xf numFmtId="4" fontId="4" fillId="0" borderId="3" xfId="2" quotePrefix="1" applyNumberFormat="1" applyFont="1" applyFill="1" applyBorder="1" applyAlignment="1" applyProtection="1">
      <alignment horizontal="center"/>
      <protection locked="0"/>
    </xf>
    <xf numFmtId="0" fontId="4" fillId="0" borderId="1" xfId="2" applyFont="1" applyFill="1" applyBorder="1" applyAlignment="1" applyProtection="1">
      <alignment horizontal="center"/>
      <protection locked="0"/>
    </xf>
    <xf numFmtId="0" fontId="4" fillId="0" borderId="2" xfId="2" applyFont="1" applyFill="1" applyBorder="1" applyAlignment="1" applyProtection="1">
      <alignment horizontal="center"/>
      <protection locked="0"/>
    </xf>
    <xf numFmtId="0" fontId="4" fillId="0" borderId="3" xfId="2" applyFont="1" applyFill="1" applyBorder="1" applyAlignment="1" applyProtection="1">
      <alignment horizontal="center"/>
      <protection locked="0"/>
    </xf>
    <xf numFmtId="0" fontId="2" fillId="3" borderId="21" xfId="0" applyFont="1" applyFill="1" applyBorder="1" applyAlignment="1" applyProtection="1">
      <alignment horizontal="center"/>
      <protection locked="0"/>
    </xf>
    <xf numFmtId="0" fontId="2" fillId="3" borderId="22" xfId="0" applyFont="1" applyFill="1" applyBorder="1" applyAlignment="1" applyProtection="1">
      <alignment horizontal="center"/>
      <protection locked="0"/>
    </xf>
    <xf numFmtId="44" fontId="2" fillId="3" borderId="22" xfId="0" applyNumberFormat="1" applyFont="1" applyFill="1" applyBorder="1" applyAlignment="1" applyProtection="1">
      <alignment horizontal="center"/>
    </xf>
    <xf numFmtId="0" fontId="2" fillId="3" borderId="23" xfId="0" applyFont="1" applyFill="1" applyBorder="1" applyAlignment="1" applyProtection="1">
      <alignment horizontal="center"/>
    </xf>
    <xf numFmtId="0" fontId="2" fillId="3" borderId="16" xfId="0" applyFont="1" applyFill="1" applyBorder="1" applyAlignment="1" applyProtection="1">
      <alignment horizontal="center"/>
      <protection locked="0"/>
    </xf>
    <xf numFmtId="0" fontId="2" fillId="3" borderId="17" xfId="0" applyFont="1" applyFill="1" applyBorder="1" applyAlignment="1" applyProtection="1">
      <alignment horizontal="center"/>
      <protection locked="0"/>
    </xf>
    <xf numFmtId="0" fontId="2" fillId="3" borderId="18" xfId="0" applyFont="1" applyFill="1" applyBorder="1" applyAlignment="1" applyProtection="1">
      <alignment horizontal="center"/>
      <protection locked="0"/>
    </xf>
    <xf numFmtId="0" fontId="0" fillId="0" borderId="54" xfId="0" applyFill="1" applyBorder="1" applyAlignment="1" applyProtection="1">
      <alignment horizontal="center"/>
    </xf>
    <xf numFmtId="0" fontId="0" fillId="0" borderId="50" xfId="0" applyFill="1" applyBorder="1" applyAlignment="1" applyProtection="1">
      <alignment horizontal="center"/>
    </xf>
    <xf numFmtId="0" fontId="13" fillId="3" borderId="16" xfId="0" applyFont="1" applyFill="1" applyBorder="1" applyAlignment="1" applyProtection="1">
      <alignment horizontal="center"/>
      <protection locked="0"/>
    </xf>
    <xf numFmtId="0" fontId="13" fillId="3" borderId="18" xfId="0" applyFont="1" applyFill="1" applyBorder="1" applyAlignment="1" applyProtection="1">
      <alignment horizontal="center"/>
      <protection locked="0"/>
    </xf>
    <xf numFmtId="0" fontId="2" fillId="3" borderId="59" xfId="0" applyFont="1" applyFill="1" applyBorder="1" applyAlignment="1" applyProtection="1">
      <alignment horizontal="center"/>
      <protection locked="0"/>
    </xf>
    <xf numFmtId="0" fontId="2" fillId="3" borderId="61" xfId="0" applyFont="1" applyFill="1" applyBorder="1" applyAlignment="1">
      <alignment horizontal="center"/>
    </xf>
    <xf numFmtId="0" fontId="2" fillId="3" borderId="60" xfId="0" applyFont="1" applyFill="1" applyBorder="1" applyAlignment="1">
      <alignment horizontal="center"/>
    </xf>
    <xf numFmtId="0" fontId="2" fillId="3" borderId="63" xfId="0" applyFont="1" applyFill="1" applyBorder="1" applyAlignment="1" applyProtection="1">
      <alignment horizontal="center"/>
      <protection locked="0"/>
    </xf>
    <xf numFmtId="44" fontId="2" fillId="3" borderId="30" xfId="0" applyNumberFormat="1" applyFont="1" applyFill="1" applyBorder="1" applyAlignment="1" applyProtection="1">
      <alignment horizontal="center"/>
    </xf>
    <xf numFmtId="0" fontId="2" fillId="3" borderId="47" xfId="0" applyFont="1" applyFill="1" applyBorder="1" applyAlignment="1" applyProtection="1">
      <alignment horizontal="center"/>
    </xf>
    <xf numFmtId="0" fontId="13" fillId="3" borderId="59" xfId="0" applyFont="1" applyFill="1" applyBorder="1" applyAlignment="1" applyProtection="1">
      <alignment horizontal="left"/>
    </xf>
    <xf numFmtId="0" fontId="13" fillId="3" borderId="60" xfId="0" applyFont="1" applyFill="1" applyBorder="1" applyAlignment="1" applyProtection="1">
      <alignment horizontal="left"/>
    </xf>
    <xf numFmtId="0" fontId="40" fillId="0" borderId="31" xfId="0" applyFont="1" applyBorder="1" applyAlignment="1" applyProtection="1">
      <alignment horizontal="center" vertical="center" wrapText="1"/>
      <protection locked="0"/>
    </xf>
    <xf numFmtId="0" fontId="40" fillId="0" borderId="0" xfId="0" applyFont="1" applyBorder="1" applyAlignment="1" applyProtection="1">
      <alignment horizontal="center" vertical="center" wrapText="1"/>
      <protection locked="0"/>
    </xf>
    <xf numFmtId="0" fontId="22" fillId="0" borderId="31" xfId="0" applyFont="1" applyBorder="1" applyAlignment="1" applyProtection="1">
      <alignment horizontal="center"/>
      <protection locked="0"/>
    </xf>
    <xf numFmtId="0" fontId="22" fillId="0" borderId="0" xfId="0" applyFont="1" applyBorder="1" applyAlignment="1" applyProtection="1">
      <alignment horizontal="center"/>
      <protection locked="0"/>
    </xf>
    <xf numFmtId="0" fontId="22" fillId="0" borderId="31" xfId="0" applyFont="1" applyBorder="1" applyAlignment="1" applyProtection="1">
      <alignment horizontal="center" wrapText="1"/>
      <protection locked="0"/>
    </xf>
    <xf numFmtId="0" fontId="22" fillId="0" borderId="0" xfId="0" applyFont="1" applyBorder="1" applyAlignment="1" applyProtection="1">
      <alignment horizontal="center" wrapText="1"/>
      <protection locked="0"/>
    </xf>
    <xf numFmtId="0" fontId="2" fillId="2" borderId="72" xfId="0" applyFont="1" applyFill="1" applyBorder="1" applyAlignment="1" applyProtection="1">
      <alignment horizontal="center"/>
    </xf>
    <xf numFmtId="0" fontId="2" fillId="2" borderId="73" xfId="0" applyFont="1" applyFill="1" applyBorder="1" applyAlignment="1" applyProtection="1">
      <alignment horizontal="center"/>
    </xf>
    <xf numFmtId="0" fontId="2" fillId="2" borderId="74" xfId="0" applyFont="1" applyFill="1" applyBorder="1" applyAlignment="1" applyProtection="1">
      <alignment horizontal="center"/>
    </xf>
    <xf numFmtId="0" fontId="0" fillId="0" borderId="31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</cellXfs>
  <cellStyles count="6">
    <cellStyle name="Comma 2" xfId="3"/>
    <cellStyle name="Currency" xfId="1" builtinId="4"/>
    <cellStyle name="Currency 2" xfId="4"/>
    <cellStyle name="Normal" xfId="0" builtinId="0"/>
    <cellStyle name="Normal 2" xfId="2"/>
    <cellStyle name="Percent" xfId="5" builtinId="5"/>
  </cellStyles>
  <dxfs count="14">
    <dxf>
      <fill>
        <patternFill>
          <bgColor rgb="FFFF0000"/>
        </patternFill>
      </fill>
    </dxf>
    <dxf>
      <fill>
        <patternFill>
          <bgColor rgb="FFCC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CC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0000"/>
      <color rgb="FFFFFF99"/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57150</xdr:rowOff>
    </xdr:from>
    <xdr:ext cx="762000" cy="95250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57150"/>
          <a:ext cx="762000" cy="9525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ALLY\Shared\City%20Resources\Box%20Canon\Box%20Canon%20Spreadsheets\Box%20Canon%20Spreadsheet%20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Y"/>
      <sheetName val="JUN"/>
      <sheetName val="JUL"/>
      <sheetName val="AUG"/>
      <sheetName val="SEP"/>
      <sheetName val="OCT"/>
      <sheetName val="TEMP"/>
      <sheetName val="TEMP Summary"/>
      <sheetName val="MAY Summary"/>
      <sheetName val="JUN Summary"/>
      <sheetName val="JUL Summary"/>
      <sheetName val="AUG Summary"/>
      <sheetName val="SEP Summary"/>
      <sheetName val="OCT Summary"/>
      <sheetName val="Templat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>
            <v>0</v>
          </cell>
        </row>
        <row r="12">
          <cell r="A12" t="str">
            <v>01-00-1000</v>
          </cell>
        </row>
        <row r="13">
          <cell r="A13" t="str">
            <v>01-00-1000</v>
          </cell>
        </row>
        <row r="14">
          <cell r="A14" t="str">
            <v>01-00-1000</v>
          </cell>
        </row>
        <row r="15">
          <cell r="A15" t="str">
            <v>01-00-1000</v>
          </cell>
        </row>
        <row r="22">
          <cell r="T22">
            <v>0</v>
          </cell>
        </row>
      </sheetData>
      <sheetData sheetId="8"/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V103"/>
  <sheetViews>
    <sheetView workbookViewId="0">
      <selection activeCell="A38" sqref="A38:XFD38"/>
    </sheetView>
  </sheetViews>
  <sheetFormatPr defaultColWidth="8.85546875" defaultRowHeight="12.75" x14ac:dyDescent="0.2"/>
  <cols>
    <col min="1" max="1" width="10.140625" style="2" bestFit="1" customWidth="1"/>
    <col min="2" max="2" width="4.5703125" style="229" customWidth="1"/>
    <col min="3" max="3" width="11.85546875" style="3" customWidth="1"/>
    <col min="4" max="4" width="10.7109375" style="3" customWidth="1"/>
    <col min="5" max="5" width="11.28515625" style="3" customWidth="1"/>
    <col min="6" max="9" width="10.7109375" style="3" customWidth="1"/>
    <col min="10" max="10" width="11.85546875" style="3" customWidth="1"/>
    <col min="11" max="11" width="11.28515625" style="3" customWidth="1"/>
    <col min="12" max="12" width="12.28515625" style="3" customWidth="1"/>
    <col min="13" max="13" width="13.42578125" style="3" bestFit="1" customWidth="1"/>
    <col min="14" max="14" width="4.140625" style="4" customWidth="1"/>
    <col min="15" max="15" width="13.85546875" style="2" customWidth="1"/>
    <col min="16" max="16" width="12.28515625" style="2" customWidth="1"/>
    <col min="17" max="17" width="12.42578125" style="2" customWidth="1"/>
    <col min="18" max="18" width="13.5703125" style="2" bestFit="1" customWidth="1"/>
    <col min="19" max="19" width="4.42578125" style="4" customWidth="1"/>
    <col min="20" max="20" width="15" style="2" customWidth="1"/>
    <col min="21" max="21" width="8.85546875" style="2"/>
    <col min="22" max="22" width="10.28515625" style="2" bestFit="1" customWidth="1"/>
    <col min="23" max="257" width="8.85546875" style="2"/>
    <col min="258" max="258" width="10.140625" style="2" bestFit="1" customWidth="1"/>
    <col min="259" max="259" width="2.7109375" style="2" customWidth="1"/>
    <col min="260" max="260" width="11.85546875" style="2" customWidth="1"/>
    <col min="261" max="261" width="10.7109375" style="2" customWidth="1"/>
    <col min="262" max="262" width="11.28515625" style="2" customWidth="1"/>
    <col min="263" max="265" width="10.7109375" style="2" customWidth="1"/>
    <col min="266" max="266" width="11.85546875" style="2" customWidth="1"/>
    <col min="267" max="267" width="11.28515625" style="2" customWidth="1"/>
    <col min="268" max="268" width="12.28515625" style="2" customWidth="1"/>
    <col min="269" max="269" width="13.42578125" style="2" bestFit="1" customWidth="1"/>
    <col min="270" max="270" width="4.140625" style="2" customWidth="1"/>
    <col min="271" max="271" width="13.85546875" style="2" customWidth="1"/>
    <col min="272" max="272" width="12.28515625" style="2" customWidth="1"/>
    <col min="273" max="273" width="12.42578125" style="2" customWidth="1"/>
    <col min="274" max="274" width="13.5703125" style="2" bestFit="1" customWidth="1"/>
    <col min="275" max="275" width="4.42578125" style="2" customWidth="1"/>
    <col min="276" max="276" width="15" style="2" customWidth="1"/>
    <col min="277" max="277" width="8.85546875" style="2"/>
    <col min="278" max="278" width="10.28515625" style="2" bestFit="1" customWidth="1"/>
    <col min="279" max="513" width="8.85546875" style="2"/>
    <col min="514" max="514" width="10.140625" style="2" bestFit="1" customWidth="1"/>
    <col min="515" max="515" width="2.7109375" style="2" customWidth="1"/>
    <col min="516" max="516" width="11.85546875" style="2" customWidth="1"/>
    <col min="517" max="517" width="10.7109375" style="2" customWidth="1"/>
    <col min="518" max="518" width="11.28515625" style="2" customWidth="1"/>
    <col min="519" max="521" width="10.7109375" style="2" customWidth="1"/>
    <col min="522" max="522" width="11.85546875" style="2" customWidth="1"/>
    <col min="523" max="523" width="11.28515625" style="2" customWidth="1"/>
    <col min="524" max="524" width="12.28515625" style="2" customWidth="1"/>
    <col min="525" max="525" width="13.42578125" style="2" bestFit="1" customWidth="1"/>
    <col min="526" max="526" width="4.140625" style="2" customWidth="1"/>
    <col min="527" max="527" width="13.85546875" style="2" customWidth="1"/>
    <col min="528" max="528" width="12.28515625" style="2" customWidth="1"/>
    <col min="529" max="529" width="12.42578125" style="2" customWidth="1"/>
    <col min="530" max="530" width="13.5703125" style="2" bestFit="1" customWidth="1"/>
    <col min="531" max="531" width="4.42578125" style="2" customWidth="1"/>
    <col min="532" max="532" width="15" style="2" customWidth="1"/>
    <col min="533" max="533" width="8.85546875" style="2"/>
    <col min="534" max="534" width="10.28515625" style="2" bestFit="1" customWidth="1"/>
    <col min="535" max="769" width="8.85546875" style="2"/>
    <col min="770" max="770" width="10.140625" style="2" bestFit="1" customWidth="1"/>
    <col min="771" max="771" width="2.7109375" style="2" customWidth="1"/>
    <col min="772" max="772" width="11.85546875" style="2" customWidth="1"/>
    <col min="773" max="773" width="10.7109375" style="2" customWidth="1"/>
    <col min="774" max="774" width="11.28515625" style="2" customWidth="1"/>
    <col min="775" max="777" width="10.7109375" style="2" customWidth="1"/>
    <col min="778" max="778" width="11.85546875" style="2" customWidth="1"/>
    <col min="779" max="779" width="11.28515625" style="2" customWidth="1"/>
    <col min="780" max="780" width="12.28515625" style="2" customWidth="1"/>
    <col min="781" max="781" width="13.42578125" style="2" bestFit="1" customWidth="1"/>
    <col min="782" max="782" width="4.140625" style="2" customWidth="1"/>
    <col min="783" max="783" width="13.85546875" style="2" customWidth="1"/>
    <col min="784" max="784" width="12.28515625" style="2" customWidth="1"/>
    <col min="785" max="785" width="12.42578125" style="2" customWidth="1"/>
    <col min="786" max="786" width="13.5703125" style="2" bestFit="1" customWidth="1"/>
    <col min="787" max="787" width="4.42578125" style="2" customWidth="1"/>
    <col min="788" max="788" width="15" style="2" customWidth="1"/>
    <col min="789" max="789" width="8.85546875" style="2"/>
    <col min="790" max="790" width="10.28515625" style="2" bestFit="1" customWidth="1"/>
    <col min="791" max="1025" width="8.85546875" style="2"/>
    <col min="1026" max="1026" width="10.140625" style="2" bestFit="1" customWidth="1"/>
    <col min="1027" max="1027" width="2.7109375" style="2" customWidth="1"/>
    <col min="1028" max="1028" width="11.85546875" style="2" customWidth="1"/>
    <col min="1029" max="1029" width="10.7109375" style="2" customWidth="1"/>
    <col min="1030" max="1030" width="11.28515625" style="2" customWidth="1"/>
    <col min="1031" max="1033" width="10.7109375" style="2" customWidth="1"/>
    <col min="1034" max="1034" width="11.85546875" style="2" customWidth="1"/>
    <col min="1035" max="1035" width="11.28515625" style="2" customWidth="1"/>
    <col min="1036" max="1036" width="12.28515625" style="2" customWidth="1"/>
    <col min="1037" max="1037" width="13.42578125" style="2" bestFit="1" customWidth="1"/>
    <col min="1038" max="1038" width="4.140625" style="2" customWidth="1"/>
    <col min="1039" max="1039" width="13.85546875" style="2" customWidth="1"/>
    <col min="1040" max="1040" width="12.28515625" style="2" customWidth="1"/>
    <col min="1041" max="1041" width="12.42578125" style="2" customWidth="1"/>
    <col min="1042" max="1042" width="13.5703125" style="2" bestFit="1" customWidth="1"/>
    <col min="1043" max="1043" width="4.42578125" style="2" customWidth="1"/>
    <col min="1044" max="1044" width="15" style="2" customWidth="1"/>
    <col min="1045" max="1045" width="8.85546875" style="2"/>
    <col min="1046" max="1046" width="10.28515625" style="2" bestFit="1" customWidth="1"/>
    <col min="1047" max="1281" width="8.85546875" style="2"/>
    <col min="1282" max="1282" width="10.140625" style="2" bestFit="1" customWidth="1"/>
    <col min="1283" max="1283" width="2.7109375" style="2" customWidth="1"/>
    <col min="1284" max="1284" width="11.85546875" style="2" customWidth="1"/>
    <col min="1285" max="1285" width="10.7109375" style="2" customWidth="1"/>
    <col min="1286" max="1286" width="11.28515625" style="2" customWidth="1"/>
    <col min="1287" max="1289" width="10.7109375" style="2" customWidth="1"/>
    <col min="1290" max="1290" width="11.85546875" style="2" customWidth="1"/>
    <col min="1291" max="1291" width="11.28515625" style="2" customWidth="1"/>
    <col min="1292" max="1292" width="12.28515625" style="2" customWidth="1"/>
    <col min="1293" max="1293" width="13.42578125" style="2" bestFit="1" customWidth="1"/>
    <col min="1294" max="1294" width="4.140625" style="2" customWidth="1"/>
    <col min="1295" max="1295" width="13.85546875" style="2" customWidth="1"/>
    <col min="1296" max="1296" width="12.28515625" style="2" customWidth="1"/>
    <col min="1297" max="1297" width="12.42578125" style="2" customWidth="1"/>
    <col min="1298" max="1298" width="13.5703125" style="2" bestFit="1" customWidth="1"/>
    <col min="1299" max="1299" width="4.42578125" style="2" customWidth="1"/>
    <col min="1300" max="1300" width="15" style="2" customWidth="1"/>
    <col min="1301" max="1301" width="8.85546875" style="2"/>
    <col min="1302" max="1302" width="10.28515625" style="2" bestFit="1" customWidth="1"/>
    <col min="1303" max="1537" width="8.85546875" style="2"/>
    <col min="1538" max="1538" width="10.140625" style="2" bestFit="1" customWidth="1"/>
    <col min="1539" max="1539" width="2.7109375" style="2" customWidth="1"/>
    <col min="1540" max="1540" width="11.85546875" style="2" customWidth="1"/>
    <col min="1541" max="1541" width="10.7109375" style="2" customWidth="1"/>
    <col min="1542" max="1542" width="11.28515625" style="2" customWidth="1"/>
    <col min="1543" max="1545" width="10.7109375" style="2" customWidth="1"/>
    <col min="1546" max="1546" width="11.85546875" style="2" customWidth="1"/>
    <col min="1547" max="1547" width="11.28515625" style="2" customWidth="1"/>
    <col min="1548" max="1548" width="12.28515625" style="2" customWidth="1"/>
    <col min="1549" max="1549" width="13.42578125" style="2" bestFit="1" customWidth="1"/>
    <col min="1550" max="1550" width="4.140625" style="2" customWidth="1"/>
    <col min="1551" max="1551" width="13.85546875" style="2" customWidth="1"/>
    <col min="1552" max="1552" width="12.28515625" style="2" customWidth="1"/>
    <col min="1553" max="1553" width="12.42578125" style="2" customWidth="1"/>
    <col min="1554" max="1554" width="13.5703125" style="2" bestFit="1" customWidth="1"/>
    <col min="1555" max="1555" width="4.42578125" style="2" customWidth="1"/>
    <col min="1556" max="1556" width="15" style="2" customWidth="1"/>
    <col min="1557" max="1557" width="8.85546875" style="2"/>
    <col min="1558" max="1558" width="10.28515625" style="2" bestFit="1" customWidth="1"/>
    <col min="1559" max="1793" width="8.85546875" style="2"/>
    <col min="1794" max="1794" width="10.140625" style="2" bestFit="1" customWidth="1"/>
    <col min="1795" max="1795" width="2.7109375" style="2" customWidth="1"/>
    <col min="1796" max="1796" width="11.85546875" style="2" customWidth="1"/>
    <col min="1797" max="1797" width="10.7109375" style="2" customWidth="1"/>
    <col min="1798" max="1798" width="11.28515625" style="2" customWidth="1"/>
    <col min="1799" max="1801" width="10.7109375" style="2" customWidth="1"/>
    <col min="1802" max="1802" width="11.85546875" style="2" customWidth="1"/>
    <col min="1803" max="1803" width="11.28515625" style="2" customWidth="1"/>
    <col min="1804" max="1804" width="12.28515625" style="2" customWidth="1"/>
    <col min="1805" max="1805" width="13.42578125" style="2" bestFit="1" customWidth="1"/>
    <col min="1806" max="1806" width="4.140625" style="2" customWidth="1"/>
    <col min="1807" max="1807" width="13.85546875" style="2" customWidth="1"/>
    <col min="1808" max="1808" width="12.28515625" style="2" customWidth="1"/>
    <col min="1809" max="1809" width="12.42578125" style="2" customWidth="1"/>
    <col min="1810" max="1810" width="13.5703125" style="2" bestFit="1" customWidth="1"/>
    <col min="1811" max="1811" width="4.42578125" style="2" customWidth="1"/>
    <col min="1812" max="1812" width="15" style="2" customWidth="1"/>
    <col min="1813" max="1813" width="8.85546875" style="2"/>
    <col min="1814" max="1814" width="10.28515625" style="2" bestFit="1" customWidth="1"/>
    <col min="1815" max="2049" width="8.85546875" style="2"/>
    <col min="2050" max="2050" width="10.140625" style="2" bestFit="1" customWidth="1"/>
    <col min="2051" max="2051" width="2.7109375" style="2" customWidth="1"/>
    <col min="2052" max="2052" width="11.85546875" style="2" customWidth="1"/>
    <col min="2053" max="2053" width="10.7109375" style="2" customWidth="1"/>
    <col min="2054" max="2054" width="11.28515625" style="2" customWidth="1"/>
    <col min="2055" max="2057" width="10.7109375" style="2" customWidth="1"/>
    <col min="2058" max="2058" width="11.85546875" style="2" customWidth="1"/>
    <col min="2059" max="2059" width="11.28515625" style="2" customWidth="1"/>
    <col min="2060" max="2060" width="12.28515625" style="2" customWidth="1"/>
    <col min="2061" max="2061" width="13.42578125" style="2" bestFit="1" customWidth="1"/>
    <col min="2062" max="2062" width="4.140625" style="2" customWidth="1"/>
    <col min="2063" max="2063" width="13.85546875" style="2" customWidth="1"/>
    <col min="2064" max="2064" width="12.28515625" style="2" customWidth="1"/>
    <col min="2065" max="2065" width="12.42578125" style="2" customWidth="1"/>
    <col min="2066" max="2066" width="13.5703125" style="2" bestFit="1" customWidth="1"/>
    <col min="2067" max="2067" width="4.42578125" style="2" customWidth="1"/>
    <col min="2068" max="2068" width="15" style="2" customWidth="1"/>
    <col min="2069" max="2069" width="8.85546875" style="2"/>
    <col min="2070" max="2070" width="10.28515625" style="2" bestFit="1" customWidth="1"/>
    <col min="2071" max="2305" width="8.85546875" style="2"/>
    <col min="2306" max="2306" width="10.140625" style="2" bestFit="1" customWidth="1"/>
    <col min="2307" max="2307" width="2.7109375" style="2" customWidth="1"/>
    <col min="2308" max="2308" width="11.85546875" style="2" customWidth="1"/>
    <col min="2309" max="2309" width="10.7109375" style="2" customWidth="1"/>
    <col min="2310" max="2310" width="11.28515625" style="2" customWidth="1"/>
    <col min="2311" max="2313" width="10.7109375" style="2" customWidth="1"/>
    <col min="2314" max="2314" width="11.85546875" style="2" customWidth="1"/>
    <col min="2315" max="2315" width="11.28515625" style="2" customWidth="1"/>
    <col min="2316" max="2316" width="12.28515625" style="2" customWidth="1"/>
    <col min="2317" max="2317" width="13.42578125" style="2" bestFit="1" customWidth="1"/>
    <col min="2318" max="2318" width="4.140625" style="2" customWidth="1"/>
    <col min="2319" max="2319" width="13.85546875" style="2" customWidth="1"/>
    <col min="2320" max="2320" width="12.28515625" style="2" customWidth="1"/>
    <col min="2321" max="2321" width="12.42578125" style="2" customWidth="1"/>
    <col min="2322" max="2322" width="13.5703125" style="2" bestFit="1" customWidth="1"/>
    <col min="2323" max="2323" width="4.42578125" style="2" customWidth="1"/>
    <col min="2324" max="2324" width="15" style="2" customWidth="1"/>
    <col min="2325" max="2325" width="8.85546875" style="2"/>
    <col min="2326" max="2326" width="10.28515625" style="2" bestFit="1" customWidth="1"/>
    <col min="2327" max="2561" width="8.85546875" style="2"/>
    <col min="2562" max="2562" width="10.140625" style="2" bestFit="1" customWidth="1"/>
    <col min="2563" max="2563" width="2.7109375" style="2" customWidth="1"/>
    <col min="2564" max="2564" width="11.85546875" style="2" customWidth="1"/>
    <col min="2565" max="2565" width="10.7109375" style="2" customWidth="1"/>
    <col min="2566" max="2566" width="11.28515625" style="2" customWidth="1"/>
    <col min="2567" max="2569" width="10.7109375" style="2" customWidth="1"/>
    <col min="2570" max="2570" width="11.85546875" style="2" customWidth="1"/>
    <col min="2571" max="2571" width="11.28515625" style="2" customWidth="1"/>
    <col min="2572" max="2572" width="12.28515625" style="2" customWidth="1"/>
    <col min="2573" max="2573" width="13.42578125" style="2" bestFit="1" customWidth="1"/>
    <col min="2574" max="2574" width="4.140625" style="2" customWidth="1"/>
    <col min="2575" max="2575" width="13.85546875" style="2" customWidth="1"/>
    <col min="2576" max="2576" width="12.28515625" style="2" customWidth="1"/>
    <col min="2577" max="2577" width="12.42578125" style="2" customWidth="1"/>
    <col min="2578" max="2578" width="13.5703125" style="2" bestFit="1" customWidth="1"/>
    <col min="2579" max="2579" width="4.42578125" style="2" customWidth="1"/>
    <col min="2580" max="2580" width="15" style="2" customWidth="1"/>
    <col min="2581" max="2581" width="8.85546875" style="2"/>
    <col min="2582" max="2582" width="10.28515625" style="2" bestFit="1" customWidth="1"/>
    <col min="2583" max="2817" width="8.85546875" style="2"/>
    <col min="2818" max="2818" width="10.140625" style="2" bestFit="1" customWidth="1"/>
    <col min="2819" max="2819" width="2.7109375" style="2" customWidth="1"/>
    <col min="2820" max="2820" width="11.85546875" style="2" customWidth="1"/>
    <col min="2821" max="2821" width="10.7109375" style="2" customWidth="1"/>
    <col min="2822" max="2822" width="11.28515625" style="2" customWidth="1"/>
    <col min="2823" max="2825" width="10.7109375" style="2" customWidth="1"/>
    <col min="2826" max="2826" width="11.85546875" style="2" customWidth="1"/>
    <col min="2827" max="2827" width="11.28515625" style="2" customWidth="1"/>
    <col min="2828" max="2828" width="12.28515625" style="2" customWidth="1"/>
    <col min="2829" max="2829" width="13.42578125" style="2" bestFit="1" customWidth="1"/>
    <col min="2830" max="2830" width="4.140625" style="2" customWidth="1"/>
    <col min="2831" max="2831" width="13.85546875" style="2" customWidth="1"/>
    <col min="2832" max="2832" width="12.28515625" style="2" customWidth="1"/>
    <col min="2833" max="2833" width="12.42578125" style="2" customWidth="1"/>
    <col min="2834" max="2834" width="13.5703125" style="2" bestFit="1" customWidth="1"/>
    <col min="2835" max="2835" width="4.42578125" style="2" customWidth="1"/>
    <col min="2836" max="2836" width="15" style="2" customWidth="1"/>
    <col min="2837" max="2837" width="8.85546875" style="2"/>
    <col min="2838" max="2838" width="10.28515625" style="2" bestFit="1" customWidth="1"/>
    <col min="2839" max="3073" width="8.85546875" style="2"/>
    <col min="3074" max="3074" width="10.140625" style="2" bestFit="1" customWidth="1"/>
    <col min="3075" max="3075" width="2.7109375" style="2" customWidth="1"/>
    <col min="3076" max="3076" width="11.85546875" style="2" customWidth="1"/>
    <col min="3077" max="3077" width="10.7109375" style="2" customWidth="1"/>
    <col min="3078" max="3078" width="11.28515625" style="2" customWidth="1"/>
    <col min="3079" max="3081" width="10.7109375" style="2" customWidth="1"/>
    <col min="3082" max="3082" width="11.85546875" style="2" customWidth="1"/>
    <col min="3083" max="3083" width="11.28515625" style="2" customWidth="1"/>
    <col min="3084" max="3084" width="12.28515625" style="2" customWidth="1"/>
    <col min="3085" max="3085" width="13.42578125" style="2" bestFit="1" customWidth="1"/>
    <col min="3086" max="3086" width="4.140625" style="2" customWidth="1"/>
    <col min="3087" max="3087" width="13.85546875" style="2" customWidth="1"/>
    <col min="3088" max="3088" width="12.28515625" style="2" customWidth="1"/>
    <col min="3089" max="3089" width="12.42578125" style="2" customWidth="1"/>
    <col min="3090" max="3090" width="13.5703125" style="2" bestFit="1" customWidth="1"/>
    <col min="3091" max="3091" width="4.42578125" style="2" customWidth="1"/>
    <col min="3092" max="3092" width="15" style="2" customWidth="1"/>
    <col min="3093" max="3093" width="8.85546875" style="2"/>
    <col min="3094" max="3094" width="10.28515625" style="2" bestFit="1" customWidth="1"/>
    <col min="3095" max="3329" width="8.85546875" style="2"/>
    <col min="3330" max="3330" width="10.140625" style="2" bestFit="1" customWidth="1"/>
    <col min="3331" max="3331" width="2.7109375" style="2" customWidth="1"/>
    <col min="3332" max="3332" width="11.85546875" style="2" customWidth="1"/>
    <col min="3333" max="3333" width="10.7109375" style="2" customWidth="1"/>
    <col min="3334" max="3334" width="11.28515625" style="2" customWidth="1"/>
    <col min="3335" max="3337" width="10.7109375" style="2" customWidth="1"/>
    <col min="3338" max="3338" width="11.85546875" style="2" customWidth="1"/>
    <col min="3339" max="3339" width="11.28515625" style="2" customWidth="1"/>
    <col min="3340" max="3340" width="12.28515625" style="2" customWidth="1"/>
    <col min="3341" max="3341" width="13.42578125" style="2" bestFit="1" customWidth="1"/>
    <col min="3342" max="3342" width="4.140625" style="2" customWidth="1"/>
    <col min="3343" max="3343" width="13.85546875" style="2" customWidth="1"/>
    <col min="3344" max="3344" width="12.28515625" style="2" customWidth="1"/>
    <col min="3345" max="3345" width="12.42578125" style="2" customWidth="1"/>
    <col min="3346" max="3346" width="13.5703125" style="2" bestFit="1" customWidth="1"/>
    <col min="3347" max="3347" width="4.42578125" style="2" customWidth="1"/>
    <col min="3348" max="3348" width="15" style="2" customWidth="1"/>
    <col min="3349" max="3349" width="8.85546875" style="2"/>
    <col min="3350" max="3350" width="10.28515625" style="2" bestFit="1" customWidth="1"/>
    <col min="3351" max="3585" width="8.85546875" style="2"/>
    <col min="3586" max="3586" width="10.140625" style="2" bestFit="1" customWidth="1"/>
    <col min="3587" max="3587" width="2.7109375" style="2" customWidth="1"/>
    <col min="3588" max="3588" width="11.85546875" style="2" customWidth="1"/>
    <col min="3589" max="3589" width="10.7109375" style="2" customWidth="1"/>
    <col min="3590" max="3590" width="11.28515625" style="2" customWidth="1"/>
    <col min="3591" max="3593" width="10.7109375" style="2" customWidth="1"/>
    <col min="3594" max="3594" width="11.85546875" style="2" customWidth="1"/>
    <col min="3595" max="3595" width="11.28515625" style="2" customWidth="1"/>
    <col min="3596" max="3596" width="12.28515625" style="2" customWidth="1"/>
    <col min="3597" max="3597" width="13.42578125" style="2" bestFit="1" customWidth="1"/>
    <col min="3598" max="3598" width="4.140625" style="2" customWidth="1"/>
    <col min="3599" max="3599" width="13.85546875" style="2" customWidth="1"/>
    <col min="3600" max="3600" width="12.28515625" style="2" customWidth="1"/>
    <col min="3601" max="3601" width="12.42578125" style="2" customWidth="1"/>
    <col min="3602" max="3602" width="13.5703125" style="2" bestFit="1" customWidth="1"/>
    <col min="3603" max="3603" width="4.42578125" style="2" customWidth="1"/>
    <col min="3604" max="3604" width="15" style="2" customWidth="1"/>
    <col min="3605" max="3605" width="8.85546875" style="2"/>
    <col min="3606" max="3606" width="10.28515625" style="2" bestFit="1" customWidth="1"/>
    <col min="3607" max="3841" width="8.85546875" style="2"/>
    <col min="3842" max="3842" width="10.140625" style="2" bestFit="1" customWidth="1"/>
    <col min="3843" max="3843" width="2.7109375" style="2" customWidth="1"/>
    <col min="3844" max="3844" width="11.85546875" style="2" customWidth="1"/>
    <col min="3845" max="3845" width="10.7109375" style="2" customWidth="1"/>
    <col min="3846" max="3846" width="11.28515625" style="2" customWidth="1"/>
    <col min="3847" max="3849" width="10.7109375" style="2" customWidth="1"/>
    <col min="3850" max="3850" width="11.85546875" style="2" customWidth="1"/>
    <col min="3851" max="3851" width="11.28515625" style="2" customWidth="1"/>
    <col min="3852" max="3852" width="12.28515625" style="2" customWidth="1"/>
    <col min="3853" max="3853" width="13.42578125" style="2" bestFit="1" customWidth="1"/>
    <col min="3854" max="3854" width="4.140625" style="2" customWidth="1"/>
    <col min="3855" max="3855" width="13.85546875" style="2" customWidth="1"/>
    <col min="3856" max="3856" width="12.28515625" style="2" customWidth="1"/>
    <col min="3857" max="3857" width="12.42578125" style="2" customWidth="1"/>
    <col min="3858" max="3858" width="13.5703125" style="2" bestFit="1" customWidth="1"/>
    <col min="3859" max="3859" width="4.42578125" style="2" customWidth="1"/>
    <col min="3860" max="3860" width="15" style="2" customWidth="1"/>
    <col min="3861" max="3861" width="8.85546875" style="2"/>
    <col min="3862" max="3862" width="10.28515625" style="2" bestFit="1" customWidth="1"/>
    <col min="3863" max="4097" width="8.85546875" style="2"/>
    <col min="4098" max="4098" width="10.140625" style="2" bestFit="1" customWidth="1"/>
    <col min="4099" max="4099" width="2.7109375" style="2" customWidth="1"/>
    <col min="4100" max="4100" width="11.85546875" style="2" customWidth="1"/>
    <col min="4101" max="4101" width="10.7109375" style="2" customWidth="1"/>
    <col min="4102" max="4102" width="11.28515625" style="2" customWidth="1"/>
    <col min="4103" max="4105" width="10.7109375" style="2" customWidth="1"/>
    <col min="4106" max="4106" width="11.85546875" style="2" customWidth="1"/>
    <col min="4107" max="4107" width="11.28515625" style="2" customWidth="1"/>
    <col min="4108" max="4108" width="12.28515625" style="2" customWidth="1"/>
    <col min="4109" max="4109" width="13.42578125" style="2" bestFit="1" customWidth="1"/>
    <col min="4110" max="4110" width="4.140625" style="2" customWidth="1"/>
    <col min="4111" max="4111" width="13.85546875" style="2" customWidth="1"/>
    <col min="4112" max="4112" width="12.28515625" style="2" customWidth="1"/>
    <col min="4113" max="4113" width="12.42578125" style="2" customWidth="1"/>
    <col min="4114" max="4114" width="13.5703125" style="2" bestFit="1" customWidth="1"/>
    <col min="4115" max="4115" width="4.42578125" style="2" customWidth="1"/>
    <col min="4116" max="4116" width="15" style="2" customWidth="1"/>
    <col min="4117" max="4117" width="8.85546875" style="2"/>
    <col min="4118" max="4118" width="10.28515625" style="2" bestFit="1" customWidth="1"/>
    <col min="4119" max="4353" width="8.85546875" style="2"/>
    <col min="4354" max="4354" width="10.140625" style="2" bestFit="1" customWidth="1"/>
    <col min="4355" max="4355" width="2.7109375" style="2" customWidth="1"/>
    <col min="4356" max="4356" width="11.85546875" style="2" customWidth="1"/>
    <col min="4357" max="4357" width="10.7109375" style="2" customWidth="1"/>
    <col min="4358" max="4358" width="11.28515625" style="2" customWidth="1"/>
    <col min="4359" max="4361" width="10.7109375" style="2" customWidth="1"/>
    <col min="4362" max="4362" width="11.85546875" style="2" customWidth="1"/>
    <col min="4363" max="4363" width="11.28515625" style="2" customWidth="1"/>
    <col min="4364" max="4364" width="12.28515625" style="2" customWidth="1"/>
    <col min="4365" max="4365" width="13.42578125" style="2" bestFit="1" customWidth="1"/>
    <col min="4366" max="4366" width="4.140625" style="2" customWidth="1"/>
    <col min="4367" max="4367" width="13.85546875" style="2" customWidth="1"/>
    <col min="4368" max="4368" width="12.28515625" style="2" customWidth="1"/>
    <col min="4369" max="4369" width="12.42578125" style="2" customWidth="1"/>
    <col min="4370" max="4370" width="13.5703125" style="2" bestFit="1" customWidth="1"/>
    <col min="4371" max="4371" width="4.42578125" style="2" customWidth="1"/>
    <col min="4372" max="4372" width="15" style="2" customWidth="1"/>
    <col min="4373" max="4373" width="8.85546875" style="2"/>
    <col min="4374" max="4374" width="10.28515625" style="2" bestFit="1" customWidth="1"/>
    <col min="4375" max="4609" width="8.85546875" style="2"/>
    <col min="4610" max="4610" width="10.140625" style="2" bestFit="1" customWidth="1"/>
    <col min="4611" max="4611" width="2.7109375" style="2" customWidth="1"/>
    <col min="4612" max="4612" width="11.85546875" style="2" customWidth="1"/>
    <col min="4613" max="4613" width="10.7109375" style="2" customWidth="1"/>
    <col min="4614" max="4614" width="11.28515625" style="2" customWidth="1"/>
    <col min="4615" max="4617" width="10.7109375" style="2" customWidth="1"/>
    <col min="4618" max="4618" width="11.85546875" style="2" customWidth="1"/>
    <col min="4619" max="4619" width="11.28515625" style="2" customWidth="1"/>
    <col min="4620" max="4620" width="12.28515625" style="2" customWidth="1"/>
    <col min="4621" max="4621" width="13.42578125" style="2" bestFit="1" customWidth="1"/>
    <col min="4622" max="4622" width="4.140625" style="2" customWidth="1"/>
    <col min="4623" max="4623" width="13.85546875" style="2" customWidth="1"/>
    <col min="4624" max="4624" width="12.28515625" style="2" customWidth="1"/>
    <col min="4625" max="4625" width="12.42578125" style="2" customWidth="1"/>
    <col min="4626" max="4626" width="13.5703125" style="2" bestFit="1" customWidth="1"/>
    <col min="4627" max="4627" width="4.42578125" style="2" customWidth="1"/>
    <col min="4628" max="4628" width="15" style="2" customWidth="1"/>
    <col min="4629" max="4629" width="8.85546875" style="2"/>
    <col min="4630" max="4630" width="10.28515625" style="2" bestFit="1" customWidth="1"/>
    <col min="4631" max="4865" width="8.85546875" style="2"/>
    <col min="4866" max="4866" width="10.140625" style="2" bestFit="1" customWidth="1"/>
    <col min="4867" max="4867" width="2.7109375" style="2" customWidth="1"/>
    <col min="4868" max="4868" width="11.85546875" style="2" customWidth="1"/>
    <col min="4869" max="4869" width="10.7109375" style="2" customWidth="1"/>
    <col min="4870" max="4870" width="11.28515625" style="2" customWidth="1"/>
    <col min="4871" max="4873" width="10.7109375" style="2" customWidth="1"/>
    <col min="4874" max="4874" width="11.85546875" style="2" customWidth="1"/>
    <col min="4875" max="4875" width="11.28515625" style="2" customWidth="1"/>
    <col min="4876" max="4876" width="12.28515625" style="2" customWidth="1"/>
    <col min="4877" max="4877" width="13.42578125" style="2" bestFit="1" customWidth="1"/>
    <col min="4878" max="4878" width="4.140625" style="2" customWidth="1"/>
    <col min="4879" max="4879" width="13.85546875" style="2" customWidth="1"/>
    <col min="4880" max="4880" width="12.28515625" style="2" customWidth="1"/>
    <col min="4881" max="4881" width="12.42578125" style="2" customWidth="1"/>
    <col min="4882" max="4882" width="13.5703125" style="2" bestFit="1" customWidth="1"/>
    <col min="4883" max="4883" width="4.42578125" style="2" customWidth="1"/>
    <col min="4884" max="4884" width="15" style="2" customWidth="1"/>
    <col min="4885" max="4885" width="8.85546875" style="2"/>
    <col min="4886" max="4886" width="10.28515625" style="2" bestFit="1" customWidth="1"/>
    <col min="4887" max="5121" width="8.85546875" style="2"/>
    <col min="5122" max="5122" width="10.140625" style="2" bestFit="1" customWidth="1"/>
    <col min="5123" max="5123" width="2.7109375" style="2" customWidth="1"/>
    <col min="5124" max="5124" width="11.85546875" style="2" customWidth="1"/>
    <col min="5125" max="5125" width="10.7109375" style="2" customWidth="1"/>
    <col min="5126" max="5126" width="11.28515625" style="2" customWidth="1"/>
    <col min="5127" max="5129" width="10.7109375" style="2" customWidth="1"/>
    <col min="5130" max="5130" width="11.85546875" style="2" customWidth="1"/>
    <col min="5131" max="5131" width="11.28515625" style="2" customWidth="1"/>
    <col min="5132" max="5132" width="12.28515625" style="2" customWidth="1"/>
    <col min="5133" max="5133" width="13.42578125" style="2" bestFit="1" customWidth="1"/>
    <col min="5134" max="5134" width="4.140625" style="2" customWidth="1"/>
    <col min="5135" max="5135" width="13.85546875" style="2" customWidth="1"/>
    <col min="5136" max="5136" width="12.28515625" style="2" customWidth="1"/>
    <col min="5137" max="5137" width="12.42578125" style="2" customWidth="1"/>
    <col min="5138" max="5138" width="13.5703125" style="2" bestFit="1" customWidth="1"/>
    <col min="5139" max="5139" width="4.42578125" style="2" customWidth="1"/>
    <col min="5140" max="5140" width="15" style="2" customWidth="1"/>
    <col min="5141" max="5141" width="8.85546875" style="2"/>
    <col min="5142" max="5142" width="10.28515625" style="2" bestFit="1" customWidth="1"/>
    <col min="5143" max="5377" width="8.85546875" style="2"/>
    <col min="5378" max="5378" width="10.140625" style="2" bestFit="1" customWidth="1"/>
    <col min="5379" max="5379" width="2.7109375" style="2" customWidth="1"/>
    <col min="5380" max="5380" width="11.85546875" style="2" customWidth="1"/>
    <col min="5381" max="5381" width="10.7109375" style="2" customWidth="1"/>
    <col min="5382" max="5382" width="11.28515625" style="2" customWidth="1"/>
    <col min="5383" max="5385" width="10.7109375" style="2" customWidth="1"/>
    <col min="5386" max="5386" width="11.85546875" style="2" customWidth="1"/>
    <col min="5387" max="5387" width="11.28515625" style="2" customWidth="1"/>
    <col min="5388" max="5388" width="12.28515625" style="2" customWidth="1"/>
    <col min="5389" max="5389" width="13.42578125" style="2" bestFit="1" customWidth="1"/>
    <col min="5390" max="5390" width="4.140625" style="2" customWidth="1"/>
    <col min="5391" max="5391" width="13.85546875" style="2" customWidth="1"/>
    <col min="5392" max="5392" width="12.28515625" style="2" customWidth="1"/>
    <col min="5393" max="5393" width="12.42578125" style="2" customWidth="1"/>
    <col min="5394" max="5394" width="13.5703125" style="2" bestFit="1" customWidth="1"/>
    <col min="5395" max="5395" width="4.42578125" style="2" customWidth="1"/>
    <col min="5396" max="5396" width="15" style="2" customWidth="1"/>
    <col min="5397" max="5397" width="8.85546875" style="2"/>
    <col min="5398" max="5398" width="10.28515625" style="2" bestFit="1" customWidth="1"/>
    <col min="5399" max="5633" width="8.85546875" style="2"/>
    <col min="5634" max="5634" width="10.140625" style="2" bestFit="1" customWidth="1"/>
    <col min="5635" max="5635" width="2.7109375" style="2" customWidth="1"/>
    <col min="5636" max="5636" width="11.85546875" style="2" customWidth="1"/>
    <col min="5637" max="5637" width="10.7109375" style="2" customWidth="1"/>
    <col min="5638" max="5638" width="11.28515625" style="2" customWidth="1"/>
    <col min="5639" max="5641" width="10.7109375" style="2" customWidth="1"/>
    <col min="5642" max="5642" width="11.85546875" style="2" customWidth="1"/>
    <col min="5643" max="5643" width="11.28515625" style="2" customWidth="1"/>
    <col min="5644" max="5644" width="12.28515625" style="2" customWidth="1"/>
    <col min="5645" max="5645" width="13.42578125" style="2" bestFit="1" customWidth="1"/>
    <col min="5646" max="5646" width="4.140625" style="2" customWidth="1"/>
    <col min="5647" max="5647" width="13.85546875" style="2" customWidth="1"/>
    <col min="5648" max="5648" width="12.28515625" style="2" customWidth="1"/>
    <col min="5649" max="5649" width="12.42578125" style="2" customWidth="1"/>
    <col min="5650" max="5650" width="13.5703125" style="2" bestFit="1" customWidth="1"/>
    <col min="5651" max="5651" width="4.42578125" style="2" customWidth="1"/>
    <col min="5652" max="5652" width="15" style="2" customWidth="1"/>
    <col min="5653" max="5653" width="8.85546875" style="2"/>
    <col min="5654" max="5654" width="10.28515625" style="2" bestFit="1" customWidth="1"/>
    <col min="5655" max="5889" width="8.85546875" style="2"/>
    <col min="5890" max="5890" width="10.140625" style="2" bestFit="1" customWidth="1"/>
    <col min="5891" max="5891" width="2.7109375" style="2" customWidth="1"/>
    <col min="5892" max="5892" width="11.85546875" style="2" customWidth="1"/>
    <col min="5893" max="5893" width="10.7109375" style="2" customWidth="1"/>
    <col min="5894" max="5894" width="11.28515625" style="2" customWidth="1"/>
    <col min="5895" max="5897" width="10.7109375" style="2" customWidth="1"/>
    <col min="5898" max="5898" width="11.85546875" style="2" customWidth="1"/>
    <col min="5899" max="5899" width="11.28515625" style="2" customWidth="1"/>
    <col min="5900" max="5900" width="12.28515625" style="2" customWidth="1"/>
    <col min="5901" max="5901" width="13.42578125" style="2" bestFit="1" customWidth="1"/>
    <col min="5902" max="5902" width="4.140625" style="2" customWidth="1"/>
    <col min="5903" max="5903" width="13.85546875" style="2" customWidth="1"/>
    <col min="5904" max="5904" width="12.28515625" style="2" customWidth="1"/>
    <col min="5905" max="5905" width="12.42578125" style="2" customWidth="1"/>
    <col min="5906" max="5906" width="13.5703125" style="2" bestFit="1" customWidth="1"/>
    <col min="5907" max="5907" width="4.42578125" style="2" customWidth="1"/>
    <col min="5908" max="5908" width="15" style="2" customWidth="1"/>
    <col min="5909" max="5909" width="8.85546875" style="2"/>
    <col min="5910" max="5910" width="10.28515625" style="2" bestFit="1" customWidth="1"/>
    <col min="5911" max="6145" width="8.85546875" style="2"/>
    <col min="6146" max="6146" width="10.140625" style="2" bestFit="1" customWidth="1"/>
    <col min="6147" max="6147" width="2.7109375" style="2" customWidth="1"/>
    <col min="6148" max="6148" width="11.85546875" style="2" customWidth="1"/>
    <col min="6149" max="6149" width="10.7109375" style="2" customWidth="1"/>
    <col min="6150" max="6150" width="11.28515625" style="2" customWidth="1"/>
    <col min="6151" max="6153" width="10.7109375" style="2" customWidth="1"/>
    <col min="6154" max="6154" width="11.85546875" style="2" customWidth="1"/>
    <col min="6155" max="6155" width="11.28515625" style="2" customWidth="1"/>
    <col min="6156" max="6156" width="12.28515625" style="2" customWidth="1"/>
    <col min="6157" max="6157" width="13.42578125" style="2" bestFit="1" customWidth="1"/>
    <col min="6158" max="6158" width="4.140625" style="2" customWidth="1"/>
    <col min="6159" max="6159" width="13.85546875" style="2" customWidth="1"/>
    <col min="6160" max="6160" width="12.28515625" style="2" customWidth="1"/>
    <col min="6161" max="6161" width="12.42578125" style="2" customWidth="1"/>
    <col min="6162" max="6162" width="13.5703125" style="2" bestFit="1" customWidth="1"/>
    <col min="6163" max="6163" width="4.42578125" style="2" customWidth="1"/>
    <col min="6164" max="6164" width="15" style="2" customWidth="1"/>
    <col min="6165" max="6165" width="8.85546875" style="2"/>
    <col min="6166" max="6166" width="10.28515625" style="2" bestFit="1" customWidth="1"/>
    <col min="6167" max="6401" width="8.85546875" style="2"/>
    <col min="6402" max="6402" width="10.140625" style="2" bestFit="1" customWidth="1"/>
    <col min="6403" max="6403" width="2.7109375" style="2" customWidth="1"/>
    <col min="6404" max="6404" width="11.85546875" style="2" customWidth="1"/>
    <col min="6405" max="6405" width="10.7109375" style="2" customWidth="1"/>
    <col min="6406" max="6406" width="11.28515625" style="2" customWidth="1"/>
    <col min="6407" max="6409" width="10.7109375" style="2" customWidth="1"/>
    <col min="6410" max="6410" width="11.85546875" style="2" customWidth="1"/>
    <col min="6411" max="6411" width="11.28515625" style="2" customWidth="1"/>
    <col min="6412" max="6412" width="12.28515625" style="2" customWidth="1"/>
    <col min="6413" max="6413" width="13.42578125" style="2" bestFit="1" customWidth="1"/>
    <col min="6414" max="6414" width="4.140625" style="2" customWidth="1"/>
    <col min="6415" max="6415" width="13.85546875" style="2" customWidth="1"/>
    <col min="6416" max="6416" width="12.28515625" style="2" customWidth="1"/>
    <col min="6417" max="6417" width="12.42578125" style="2" customWidth="1"/>
    <col min="6418" max="6418" width="13.5703125" style="2" bestFit="1" customWidth="1"/>
    <col min="6419" max="6419" width="4.42578125" style="2" customWidth="1"/>
    <col min="6420" max="6420" width="15" style="2" customWidth="1"/>
    <col min="6421" max="6421" width="8.85546875" style="2"/>
    <col min="6422" max="6422" width="10.28515625" style="2" bestFit="1" customWidth="1"/>
    <col min="6423" max="6657" width="8.85546875" style="2"/>
    <col min="6658" max="6658" width="10.140625" style="2" bestFit="1" customWidth="1"/>
    <col min="6659" max="6659" width="2.7109375" style="2" customWidth="1"/>
    <col min="6660" max="6660" width="11.85546875" style="2" customWidth="1"/>
    <col min="6661" max="6661" width="10.7109375" style="2" customWidth="1"/>
    <col min="6662" max="6662" width="11.28515625" style="2" customWidth="1"/>
    <col min="6663" max="6665" width="10.7109375" style="2" customWidth="1"/>
    <col min="6666" max="6666" width="11.85546875" style="2" customWidth="1"/>
    <col min="6667" max="6667" width="11.28515625" style="2" customWidth="1"/>
    <col min="6668" max="6668" width="12.28515625" style="2" customWidth="1"/>
    <col min="6669" max="6669" width="13.42578125" style="2" bestFit="1" customWidth="1"/>
    <col min="6670" max="6670" width="4.140625" style="2" customWidth="1"/>
    <col min="6671" max="6671" width="13.85546875" style="2" customWidth="1"/>
    <col min="6672" max="6672" width="12.28515625" style="2" customWidth="1"/>
    <col min="6673" max="6673" width="12.42578125" style="2" customWidth="1"/>
    <col min="6674" max="6674" width="13.5703125" style="2" bestFit="1" customWidth="1"/>
    <col min="6675" max="6675" width="4.42578125" style="2" customWidth="1"/>
    <col min="6676" max="6676" width="15" style="2" customWidth="1"/>
    <col min="6677" max="6677" width="8.85546875" style="2"/>
    <col min="6678" max="6678" width="10.28515625" style="2" bestFit="1" customWidth="1"/>
    <col min="6679" max="6913" width="8.85546875" style="2"/>
    <col min="6914" max="6914" width="10.140625" style="2" bestFit="1" customWidth="1"/>
    <col min="6915" max="6915" width="2.7109375" style="2" customWidth="1"/>
    <col min="6916" max="6916" width="11.85546875" style="2" customWidth="1"/>
    <col min="6917" max="6917" width="10.7109375" style="2" customWidth="1"/>
    <col min="6918" max="6918" width="11.28515625" style="2" customWidth="1"/>
    <col min="6919" max="6921" width="10.7109375" style="2" customWidth="1"/>
    <col min="6922" max="6922" width="11.85546875" style="2" customWidth="1"/>
    <col min="6923" max="6923" width="11.28515625" style="2" customWidth="1"/>
    <col min="6924" max="6924" width="12.28515625" style="2" customWidth="1"/>
    <col min="6925" max="6925" width="13.42578125" style="2" bestFit="1" customWidth="1"/>
    <col min="6926" max="6926" width="4.140625" style="2" customWidth="1"/>
    <col min="6927" max="6927" width="13.85546875" style="2" customWidth="1"/>
    <col min="6928" max="6928" width="12.28515625" style="2" customWidth="1"/>
    <col min="6929" max="6929" width="12.42578125" style="2" customWidth="1"/>
    <col min="6930" max="6930" width="13.5703125" style="2" bestFit="1" customWidth="1"/>
    <col min="6931" max="6931" width="4.42578125" style="2" customWidth="1"/>
    <col min="6932" max="6932" width="15" style="2" customWidth="1"/>
    <col min="6933" max="6933" width="8.85546875" style="2"/>
    <col min="6934" max="6934" width="10.28515625" style="2" bestFit="1" customWidth="1"/>
    <col min="6935" max="7169" width="8.85546875" style="2"/>
    <col min="7170" max="7170" width="10.140625" style="2" bestFit="1" customWidth="1"/>
    <col min="7171" max="7171" width="2.7109375" style="2" customWidth="1"/>
    <col min="7172" max="7172" width="11.85546875" style="2" customWidth="1"/>
    <col min="7173" max="7173" width="10.7109375" style="2" customWidth="1"/>
    <col min="7174" max="7174" width="11.28515625" style="2" customWidth="1"/>
    <col min="7175" max="7177" width="10.7109375" style="2" customWidth="1"/>
    <col min="7178" max="7178" width="11.85546875" style="2" customWidth="1"/>
    <col min="7179" max="7179" width="11.28515625" style="2" customWidth="1"/>
    <col min="7180" max="7180" width="12.28515625" style="2" customWidth="1"/>
    <col min="7181" max="7181" width="13.42578125" style="2" bestFit="1" customWidth="1"/>
    <col min="7182" max="7182" width="4.140625" style="2" customWidth="1"/>
    <col min="7183" max="7183" width="13.85546875" style="2" customWidth="1"/>
    <col min="7184" max="7184" width="12.28515625" style="2" customWidth="1"/>
    <col min="7185" max="7185" width="12.42578125" style="2" customWidth="1"/>
    <col min="7186" max="7186" width="13.5703125" style="2" bestFit="1" customWidth="1"/>
    <col min="7187" max="7187" width="4.42578125" style="2" customWidth="1"/>
    <col min="7188" max="7188" width="15" style="2" customWidth="1"/>
    <col min="7189" max="7189" width="8.85546875" style="2"/>
    <col min="7190" max="7190" width="10.28515625" style="2" bestFit="1" customWidth="1"/>
    <col min="7191" max="7425" width="8.85546875" style="2"/>
    <col min="7426" max="7426" width="10.140625" style="2" bestFit="1" customWidth="1"/>
    <col min="7427" max="7427" width="2.7109375" style="2" customWidth="1"/>
    <col min="7428" max="7428" width="11.85546875" style="2" customWidth="1"/>
    <col min="7429" max="7429" width="10.7109375" style="2" customWidth="1"/>
    <col min="7430" max="7430" width="11.28515625" style="2" customWidth="1"/>
    <col min="7431" max="7433" width="10.7109375" style="2" customWidth="1"/>
    <col min="7434" max="7434" width="11.85546875" style="2" customWidth="1"/>
    <col min="7435" max="7435" width="11.28515625" style="2" customWidth="1"/>
    <col min="7436" max="7436" width="12.28515625" style="2" customWidth="1"/>
    <col min="7437" max="7437" width="13.42578125" style="2" bestFit="1" customWidth="1"/>
    <col min="7438" max="7438" width="4.140625" style="2" customWidth="1"/>
    <col min="7439" max="7439" width="13.85546875" style="2" customWidth="1"/>
    <col min="7440" max="7440" width="12.28515625" style="2" customWidth="1"/>
    <col min="7441" max="7441" width="12.42578125" style="2" customWidth="1"/>
    <col min="7442" max="7442" width="13.5703125" style="2" bestFit="1" customWidth="1"/>
    <col min="7443" max="7443" width="4.42578125" style="2" customWidth="1"/>
    <col min="7444" max="7444" width="15" style="2" customWidth="1"/>
    <col min="7445" max="7445" width="8.85546875" style="2"/>
    <col min="7446" max="7446" width="10.28515625" style="2" bestFit="1" customWidth="1"/>
    <col min="7447" max="7681" width="8.85546875" style="2"/>
    <col min="7682" max="7682" width="10.140625" style="2" bestFit="1" customWidth="1"/>
    <col min="7683" max="7683" width="2.7109375" style="2" customWidth="1"/>
    <col min="7684" max="7684" width="11.85546875" style="2" customWidth="1"/>
    <col min="7685" max="7685" width="10.7109375" style="2" customWidth="1"/>
    <col min="7686" max="7686" width="11.28515625" style="2" customWidth="1"/>
    <col min="7687" max="7689" width="10.7109375" style="2" customWidth="1"/>
    <col min="7690" max="7690" width="11.85546875" style="2" customWidth="1"/>
    <col min="7691" max="7691" width="11.28515625" style="2" customWidth="1"/>
    <col min="7692" max="7692" width="12.28515625" style="2" customWidth="1"/>
    <col min="7693" max="7693" width="13.42578125" style="2" bestFit="1" customWidth="1"/>
    <col min="7694" max="7694" width="4.140625" style="2" customWidth="1"/>
    <col min="7695" max="7695" width="13.85546875" style="2" customWidth="1"/>
    <col min="7696" max="7696" width="12.28515625" style="2" customWidth="1"/>
    <col min="7697" max="7697" width="12.42578125" style="2" customWidth="1"/>
    <col min="7698" max="7698" width="13.5703125" style="2" bestFit="1" customWidth="1"/>
    <col min="7699" max="7699" width="4.42578125" style="2" customWidth="1"/>
    <col min="7700" max="7700" width="15" style="2" customWidth="1"/>
    <col min="7701" max="7701" width="8.85546875" style="2"/>
    <col min="7702" max="7702" width="10.28515625" style="2" bestFit="1" customWidth="1"/>
    <col min="7703" max="7937" width="8.85546875" style="2"/>
    <col min="7938" max="7938" width="10.140625" style="2" bestFit="1" customWidth="1"/>
    <col min="7939" max="7939" width="2.7109375" style="2" customWidth="1"/>
    <col min="7940" max="7940" width="11.85546875" style="2" customWidth="1"/>
    <col min="7941" max="7941" width="10.7109375" style="2" customWidth="1"/>
    <col min="7942" max="7942" width="11.28515625" style="2" customWidth="1"/>
    <col min="7943" max="7945" width="10.7109375" style="2" customWidth="1"/>
    <col min="7946" max="7946" width="11.85546875" style="2" customWidth="1"/>
    <col min="7947" max="7947" width="11.28515625" style="2" customWidth="1"/>
    <col min="7948" max="7948" width="12.28515625" style="2" customWidth="1"/>
    <col min="7949" max="7949" width="13.42578125" style="2" bestFit="1" customWidth="1"/>
    <col min="7950" max="7950" width="4.140625" style="2" customWidth="1"/>
    <col min="7951" max="7951" width="13.85546875" style="2" customWidth="1"/>
    <col min="7952" max="7952" width="12.28515625" style="2" customWidth="1"/>
    <col min="7953" max="7953" width="12.42578125" style="2" customWidth="1"/>
    <col min="7954" max="7954" width="13.5703125" style="2" bestFit="1" customWidth="1"/>
    <col min="7955" max="7955" width="4.42578125" style="2" customWidth="1"/>
    <col min="7956" max="7956" width="15" style="2" customWidth="1"/>
    <col min="7957" max="7957" width="8.85546875" style="2"/>
    <col min="7958" max="7958" width="10.28515625" style="2" bestFit="1" customWidth="1"/>
    <col min="7959" max="8193" width="8.85546875" style="2"/>
    <col min="8194" max="8194" width="10.140625" style="2" bestFit="1" customWidth="1"/>
    <col min="8195" max="8195" width="2.7109375" style="2" customWidth="1"/>
    <col min="8196" max="8196" width="11.85546875" style="2" customWidth="1"/>
    <col min="8197" max="8197" width="10.7109375" style="2" customWidth="1"/>
    <col min="8198" max="8198" width="11.28515625" style="2" customWidth="1"/>
    <col min="8199" max="8201" width="10.7109375" style="2" customWidth="1"/>
    <col min="8202" max="8202" width="11.85546875" style="2" customWidth="1"/>
    <col min="8203" max="8203" width="11.28515625" style="2" customWidth="1"/>
    <col min="8204" max="8204" width="12.28515625" style="2" customWidth="1"/>
    <col min="8205" max="8205" width="13.42578125" style="2" bestFit="1" customWidth="1"/>
    <col min="8206" max="8206" width="4.140625" style="2" customWidth="1"/>
    <col min="8207" max="8207" width="13.85546875" style="2" customWidth="1"/>
    <col min="8208" max="8208" width="12.28515625" style="2" customWidth="1"/>
    <col min="8209" max="8209" width="12.42578125" style="2" customWidth="1"/>
    <col min="8210" max="8210" width="13.5703125" style="2" bestFit="1" customWidth="1"/>
    <col min="8211" max="8211" width="4.42578125" style="2" customWidth="1"/>
    <col min="8212" max="8212" width="15" style="2" customWidth="1"/>
    <col min="8213" max="8213" width="8.85546875" style="2"/>
    <col min="8214" max="8214" width="10.28515625" style="2" bestFit="1" customWidth="1"/>
    <col min="8215" max="8449" width="8.85546875" style="2"/>
    <col min="8450" max="8450" width="10.140625" style="2" bestFit="1" customWidth="1"/>
    <col min="8451" max="8451" width="2.7109375" style="2" customWidth="1"/>
    <col min="8452" max="8452" width="11.85546875" style="2" customWidth="1"/>
    <col min="8453" max="8453" width="10.7109375" style="2" customWidth="1"/>
    <col min="8454" max="8454" width="11.28515625" style="2" customWidth="1"/>
    <col min="8455" max="8457" width="10.7109375" style="2" customWidth="1"/>
    <col min="8458" max="8458" width="11.85546875" style="2" customWidth="1"/>
    <col min="8459" max="8459" width="11.28515625" style="2" customWidth="1"/>
    <col min="8460" max="8460" width="12.28515625" style="2" customWidth="1"/>
    <col min="8461" max="8461" width="13.42578125" style="2" bestFit="1" customWidth="1"/>
    <col min="8462" max="8462" width="4.140625" style="2" customWidth="1"/>
    <col min="8463" max="8463" width="13.85546875" style="2" customWidth="1"/>
    <col min="8464" max="8464" width="12.28515625" style="2" customWidth="1"/>
    <col min="8465" max="8465" width="12.42578125" style="2" customWidth="1"/>
    <col min="8466" max="8466" width="13.5703125" style="2" bestFit="1" customWidth="1"/>
    <col min="8467" max="8467" width="4.42578125" style="2" customWidth="1"/>
    <col min="8468" max="8468" width="15" style="2" customWidth="1"/>
    <col min="8469" max="8469" width="8.85546875" style="2"/>
    <col min="8470" max="8470" width="10.28515625" style="2" bestFit="1" customWidth="1"/>
    <col min="8471" max="8705" width="8.85546875" style="2"/>
    <col min="8706" max="8706" width="10.140625" style="2" bestFit="1" customWidth="1"/>
    <col min="8707" max="8707" width="2.7109375" style="2" customWidth="1"/>
    <col min="8708" max="8708" width="11.85546875" style="2" customWidth="1"/>
    <col min="8709" max="8709" width="10.7109375" style="2" customWidth="1"/>
    <col min="8710" max="8710" width="11.28515625" style="2" customWidth="1"/>
    <col min="8711" max="8713" width="10.7109375" style="2" customWidth="1"/>
    <col min="8714" max="8714" width="11.85546875" style="2" customWidth="1"/>
    <col min="8715" max="8715" width="11.28515625" style="2" customWidth="1"/>
    <col min="8716" max="8716" width="12.28515625" style="2" customWidth="1"/>
    <col min="8717" max="8717" width="13.42578125" style="2" bestFit="1" customWidth="1"/>
    <col min="8718" max="8718" width="4.140625" style="2" customWidth="1"/>
    <col min="8719" max="8719" width="13.85546875" style="2" customWidth="1"/>
    <col min="8720" max="8720" width="12.28515625" style="2" customWidth="1"/>
    <col min="8721" max="8721" width="12.42578125" style="2" customWidth="1"/>
    <col min="8722" max="8722" width="13.5703125" style="2" bestFit="1" customWidth="1"/>
    <col min="8723" max="8723" width="4.42578125" style="2" customWidth="1"/>
    <col min="8724" max="8724" width="15" style="2" customWidth="1"/>
    <col min="8725" max="8725" width="8.85546875" style="2"/>
    <col min="8726" max="8726" width="10.28515625" style="2" bestFit="1" customWidth="1"/>
    <col min="8727" max="8961" width="8.85546875" style="2"/>
    <col min="8962" max="8962" width="10.140625" style="2" bestFit="1" customWidth="1"/>
    <col min="8963" max="8963" width="2.7109375" style="2" customWidth="1"/>
    <col min="8964" max="8964" width="11.85546875" style="2" customWidth="1"/>
    <col min="8965" max="8965" width="10.7109375" style="2" customWidth="1"/>
    <col min="8966" max="8966" width="11.28515625" style="2" customWidth="1"/>
    <col min="8967" max="8969" width="10.7109375" style="2" customWidth="1"/>
    <col min="8970" max="8970" width="11.85546875" style="2" customWidth="1"/>
    <col min="8971" max="8971" width="11.28515625" style="2" customWidth="1"/>
    <col min="8972" max="8972" width="12.28515625" style="2" customWidth="1"/>
    <col min="8973" max="8973" width="13.42578125" style="2" bestFit="1" customWidth="1"/>
    <col min="8974" max="8974" width="4.140625" style="2" customWidth="1"/>
    <col min="8975" max="8975" width="13.85546875" style="2" customWidth="1"/>
    <col min="8976" max="8976" width="12.28515625" style="2" customWidth="1"/>
    <col min="8977" max="8977" width="12.42578125" style="2" customWidth="1"/>
    <col min="8978" max="8978" width="13.5703125" style="2" bestFit="1" customWidth="1"/>
    <col min="8979" max="8979" width="4.42578125" style="2" customWidth="1"/>
    <col min="8980" max="8980" width="15" style="2" customWidth="1"/>
    <col min="8981" max="8981" width="8.85546875" style="2"/>
    <col min="8982" max="8982" width="10.28515625" style="2" bestFit="1" customWidth="1"/>
    <col min="8983" max="9217" width="8.85546875" style="2"/>
    <col min="9218" max="9218" width="10.140625" style="2" bestFit="1" customWidth="1"/>
    <col min="9219" max="9219" width="2.7109375" style="2" customWidth="1"/>
    <col min="9220" max="9220" width="11.85546875" style="2" customWidth="1"/>
    <col min="9221" max="9221" width="10.7109375" style="2" customWidth="1"/>
    <col min="9222" max="9222" width="11.28515625" style="2" customWidth="1"/>
    <col min="9223" max="9225" width="10.7109375" style="2" customWidth="1"/>
    <col min="9226" max="9226" width="11.85546875" style="2" customWidth="1"/>
    <col min="9227" max="9227" width="11.28515625" style="2" customWidth="1"/>
    <col min="9228" max="9228" width="12.28515625" style="2" customWidth="1"/>
    <col min="9229" max="9229" width="13.42578125" style="2" bestFit="1" customWidth="1"/>
    <col min="9230" max="9230" width="4.140625" style="2" customWidth="1"/>
    <col min="9231" max="9231" width="13.85546875" style="2" customWidth="1"/>
    <col min="9232" max="9232" width="12.28515625" style="2" customWidth="1"/>
    <col min="9233" max="9233" width="12.42578125" style="2" customWidth="1"/>
    <col min="9234" max="9234" width="13.5703125" style="2" bestFit="1" customWidth="1"/>
    <col min="9235" max="9235" width="4.42578125" style="2" customWidth="1"/>
    <col min="9236" max="9236" width="15" style="2" customWidth="1"/>
    <col min="9237" max="9237" width="8.85546875" style="2"/>
    <col min="9238" max="9238" width="10.28515625" style="2" bestFit="1" customWidth="1"/>
    <col min="9239" max="9473" width="8.85546875" style="2"/>
    <col min="9474" max="9474" width="10.140625" style="2" bestFit="1" customWidth="1"/>
    <col min="9475" max="9475" width="2.7109375" style="2" customWidth="1"/>
    <col min="9476" max="9476" width="11.85546875" style="2" customWidth="1"/>
    <col min="9477" max="9477" width="10.7109375" style="2" customWidth="1"/>
    <col min="9478" max="9478" width="11.28515625" style="2" customWidth="1"/>
    <col min="9479" max="9481" width="10.7109375" style="2" customWidth="1"/>
    <col min="9482" max="9482" width="11.85546875" style="2" customWidth="1"/>
    <col min="9483" max="9483" width="11.28515625" style="2" customWidth="1"/>
    <col min="9484" max="9484" width="12.28515625" style="2" customWidth="1"/>
    <col min="9485" max="9485" width="13.42578125" style="2" bestFit="1" customWidth="1"/>
    <col min="9486" max="9486" width="4.140625" style="2" customWidth="1"/>
    <col min="9487" max="9487" width="13.85546875" style="2" customWidth="1"/>
    <col min="9488" max="9488" width="12.28515625" style="2" customWidth="1"/>
    <col min="9489" max="9489" width="12.42578125" style="2" customWidth="1"/>
    <col min="9490" max="9490" width="13.5703125" style="2" bestFit="1" customWidth="1"/>
    <col min="9491" max="9491" width="4.42578125" style="2" customWidth="1"/>
    <col min="9492" max="9492" width="15" style="2" customWidth="1"/>
    <col min="9493" max="9493" width="8.85546875" style="2"/>
    <col min="9494" max="9494" width="10.28515625" style="2" bestFit="1" customWidth="1"/>
    <col min="9495" max="9729" width="8.85546875" style="2"/>
    <col min="9730" max="9730" width="10.140625" style="2" bestFit="1" customWidth="1"/>
    <col min="9731" max="9731" width="2.7109375" style="2" customWidth="1"/>
    <col min="9732" max="9732" width="11.85546875" style="2" customWidth="1"/>
    <col min="9733" max="9733" width="10.7109375" style="2" customWidth="1"/>
    <col min="9734" max="9734" width="11.28515625" style="2" customWidth="1"/>
    <col min="9735" max="9737" width="10.7109375" style="2" customWidth="1"/>
    <col min="9738" max="9738" width="11.85546875" style="2" customWidth="1"/>
    <col min="9739" max="9739" width="11.28515625" style="2" customWidth="1"/>
    <col min="9740" max="9740" width="12.28515625" style="2" customWidth="1"/>
    <col min="9741" max="9741" width="13.42578125" style="2" bestFit="1" customWidth="1"/>
    <col min="9742" max="9742" width="4.140625" style="2" customWidth="1"/>
    <col min="9743" max="9743" width="13.85546875" style="2" customWidth="1"/>
    <col min="9744" max="9744" width="12.28515625" style="2" customWidth="1"/>
    <col min="9745" max="9745" width="12.42578125" style="2" customWidth="1"/>
    <col min="9746" max="9746" width="13.5703125" style="2" bestFit="1" customWidth="1"/>
    <col min="9747" max="9747" width="4.42578125" style="2" customWidth="1"/>
    <col min="9748" max="9748" width="15" style="2" customWidth="1"/>
    <col min="9749" max="9749" width="8.85546875" style="2"/>
    <col min="9750" max="9750" width="10.28515625" style="2" bestFit="1" customWidth="1"/>
    <col min="9751" max="9985" width="8.85546875" style="2"/>
    <col min="9986" max="9986" width="10.140625" style="2" bestFit="1" customWidth="1"/>
    <col min="9987" max="9987" width="2.7109375" style="2" customWidth="1"/>
    <col min="9988" max="9988" width="11.85546875" style="2" customWidth="1"/>
    <col min="9989" max="9989" width="10.7109375" style="2" customWidth="1"/>
    <col min="9990" max="9990" width="11.28515625" style="2" customWidth="1"/>
    <col min="9991" max="9993" width="10.7109375" style="2" customWidth="1"/>
    <col min="9994" max="9994" width="11.85546875" style="2" customWidth="1"/>
    <col min="9995" max="9995" width="11.28515625" style="2" customWidth="1"/>
    <col min="9996" max="9996" width="12.28515625" style="2" customWidth="1"/>
    <col min="9997" max="9997" width="13.42578125" style="2" bestFit="1" customWidth="1"/>
    <col min="9998" max="9998" width="4.140625" style="2" customWidth="1"/>
    <col min="9999" max="9999" width="13.85546875" style="2" customWidth="1"/>
    <col min="10000" max="10000" width="12.28515625" style="2" customWidth="1"/>
    <col min="10001" max="10001" width="12.42578125" style="2" customWidth="1"/>
    <col min="10002" max="10002" width="13.5703125" style="2" bestFit="1" customWidth="1"/>
    <col min="10003" max="10003" width="4.42578125" style="2" customWidth="1"/>
    <col min="10004" max="10004" width="15" style="2" customWidth="1"/>
    <col min="10005" max="10005" width="8.85546875" style="2"/>
    <col min="10006" max="10006" width="10.28515625" style="2" bestFit="1" customWidth="1"/>
    <col min="10007" max="10241" width="8.85546875" style="2"/>
    <col min="10242" max="10242" width="10.140625" style="2" bestFit="1" customWidth="1"/>
    <col min="10243" max="10243" width="2.7109375" style="2" customWidth="1"/>
    <col min="10244" max="10244" width="11.85546875" style="2" customWidth="1"/>
    <col min="10245" max="10245" width="10.7109375" style="2" customWidth="1"/>
    <col min="10246" max="10246" width="11.28515625" style="2" customWidth="1"/>
    <col min="10247" max="10249" width="10.7109375" style="2" customWidth="1"/>
    <col min="10250" max="10250" width="11.85546875" style="2" customWidth="1"/>
    <col min="10251" max="10251" width="11.28515625" style="2" customWidth="1"/>
    <col min="10252" max="10252" width="12.28515625" style="2" customWidth="1"/>
    <col min="10253" max="10253" width="13.42578125" style="2" bestFit="1" customWidth="1"/>
    <col min="10254" max="10254" width="4.140625" style="2" customWidth="1"/>
    <col min="10255" max="10255" width="13.85546875" style="2" customWidth="1"/>
    <col min="10256" max="10256" width="12.28515625" style="2" customWidth="1"/>
    <col min="10257" max="10257" width="12.42578125" style="2" customWidth="1"/>
    <col min="10258" max="10258" width="13.5703125" style="2" bestFit="1" customWidth="1"/>
    <col min="10259" max="10259" width="4.42578125" style="2" customWidth="1"/>
    <col min="10260" max="10260" width="15" style="2" customWidth="1"/>
    <col min="10261" max="10261" width="8.85546875" style="2"/>
    <col min="10262" max="10262" width="10.28515625" style="2" bestFit="1" customWidth="1"/>
    <col min="10263" max="10497" width="8.85546875" style="2"/>
    <col min="10498" max="10498" width="10.140625" style="2" bestFit="1" customWidth="1"/>
    <col min="10499" max="10499" width="2.7109375" style="2" customWidth="1"/>
    <col min="10500" max="10500" width="11.85546875" style="2" customWidth="1"/>
    <col min="10501" max="10501" width="10.7109375" style="2" customWidth="1"/>
    <col min="10502" max="10502" width="11.28515625" style="2" customWidth="1"/>
    <col min="10503" max="10505" width="10.7109375" style="2" customWidth="1"/>
    <col min="10506" max="10506" width="11.85546875" style="2" customWidth="1"/>
    <col min="10507" max="10507" width="11.28515625" style="2" customWidth="1"/>
    <col min="10508" max="10508" width="12.28515625" style="2" customWidth="1"/>
    <col min="10509" max="10509" width="13.42578125" style="2" bestFit="1" customWidth="1"/>
    <col min="10510" max="10510" width="4.140625" style="2" customWidth="1"/>
    <col min="10511" max="10511" width="13.85546875" style="2" customWidth="1"/>
    <col min="10512" max="10512" width="12.28515625" style="2" customWidth="1"/>
    <col min="10513" max="10513" width="12.42578125" style="2" customWidth="1"/>
    <col min="10514" max="10514" width="13.5703125" style="2" bestFit="1" customWidth="1"/>
    <col min="10515" max="10515" width="4.42578125" style="2" customWidth="1"/>
    <col min="10516" max="10516" width="15" style="2" customWidth="1"/>
    <col min="10517" max="10517" width="8.85546875" style="2"/>
    <col min="10518" max="10518" width="10.28515625" style="2" bestFit="1" customWidth="1"/>
    <col min="10519" max="10753" width="8.85546875" style="2"/>
    <col min="10754" max="10754" width="10.140625" style="2" bestFit="1" customWidth="1"/>
    <col min="10755" max="10755" width="2.7109375" style="2" customWidth="1"/>
    <col min="10756" max="10756" width="11.85546875" style="2" customWidth="1"/>
    <col min="10757" max="10757" width="10.7109375" style="2" customWidth="1"/>
    <col min="10758" max="10758" width="11.28515625" style="2" customWidth="1"/>
    <col min="10759" max="10761" width="10.7109375" style="2" customWidth="1"/>
    <col min="10762" max="10762" width="11.85546875" style="2" customWidth="1"/>
    <col min="10763" max="10763" width="11.28515625" style="2" customWidth="1"/>
    <col min="10764" max="10764" width="12.28515625" style="2" customWidth="1"/>
    <col min="10765" max="10765" width="13.42578125" style="2" bestFit="1" customWidth="1"/>
    <col min="10766" max="10766" width="4.140625" style="2" customWidth="1"/>
    <col min="10767" max="10767" width="13.85546875" style="2" customWidth="1"/>
    <col min="10768" max="10768" width="12.28515625" style="2" customWidth="1"/>
    <col min="10769" max="10769" width="12.42578125" style="2" customWidth="1"/>
    <col min="10770" max="10770" width="13.5703125" style="2" bestFit="1" customWidth="1"/>
    <col min="10771" max="10771" width="4.42578125" style="2" customWidth="1"/>
    <col min="10772" max="10772" width="15" style="2" customWidth="1"/>
    <col min="10773" max="10773" width="8.85546875" style="2"/>
    <col min="10774" max="10774" width="10.28515625" style="2" bestFit="1" customWidth="1"/>
    <col min="10775" max="11009" width="8.85546875" style="2"/>
    <col min="11010" max="11010" width="10.140625" style="2" bestFit="1" customWidth="1"/>
    <col min="11011" max="11011" width="2.7109375" style="2" customWidth="1"/>
    <col min="11012" max="11012" width="11.85546875" style="2" customWidth="1"/>
    <col min="11013" max="11013" width="10.7109375" style="2" customWidth="1"/>
    <col min="11014" max="11014" width="11.28515625" style="2" customWidth="1"/>
    <col min="11015" max="11017" width="10.7109375" style="2" customWidth="1"/>
    <col min="11018" max="11018" width="11.85546875" style="2" customWidth="1"/>
    <col min="11019" max="11019" width="11.28515625" style="2" customWidth="1"/>
    <col min="11020" max="11020" width="12.28515625" style="2" customWidth="1"/>
    <col min="11021" max="11021" width="13.42578125" style="2" bestFit="1" customWidth="1"/>
    <col min="11022" max="11022" width="4.140625" style="2" customWidth="1"/>
    <col min="11023" max="11023" width="13.85546875" style="2" customWidth="1"/>
    <col min="11024" max="11024" width="12.28515625" style="2" customWidth="1"/>
    <col min="11025" max="11025" width="12.42578125" style="2" customWidth="1"/>
    <col min="11026" max="11026" width="13.5703125" style="2" bestFit="1" customWidth="1"/>
    <col min="11027" max="11027" width="4.42578125" style="2" customWidth="1"/>
    <col min="11028" max="11028" width="15" style="2" customWidth="1"/>
    <col min="11029" max="11029" width="8.85546875" style="2"/>
    <col min="11030" max="11030" width="10.28515625" style="2" bestFit="1" customWidth="1"/>
    <col min="11031" max="11265" width="8.85546875" style="2"/>
    <col min="11266" max="11266" width="10.140625" style="2" bestFit="1" customWidth="1"/>
    <col min="11267" max="11267" width="2.7109375" style="2" customWidth="1"/>
    <col min="11268" max="11268" width="11.85546875" style="2" customWidth="1"/>
    <col min="11269" max="11269" width="10.7109375" style="2" customWidth="1"/>
    <col min="11270" max="11270" width="11.28515625" style="2" customWidth="1"/>
    <col min="11271" max="11273" width="10.7109375" style="2" customWidth="1"/>
    <col min="11274" max="11274" width="11.85546875" style="2" customWidth="1"/>
    <col min="11275" max="11275" width="11.28515625" style="2" customWidth="1"/>
    <col min="11276" max="11276" width="12.28515625" style="2" customWidth="1"/>
    <col min="11277" max="11277" width="13.42578125" style="2" bestFit="1" customWidth="1"/>
    <col min="11278" max="11278" width="4.140625" style="2" customWidth="1"/>
    <col min="11279" max="11279" width="13.85546875" style="2" customWidth="1"/>
    <col min="11280" max="11280" width="12.28515625" style="2" customWidth="1"/>
    <col min="11281" max="11281" width="12.42578125" style="2" customWidth="1"/>
    <col min="11282" max="11282" width="13.5703125" style="2" bestFit="1" customWidth="1"/>
    <col min="11283" max="11283" width="4.42578125" style="2" customWidth="1"/>
    <col min="11284" max="11284" width="15" style="2" customWidth="1"/>
    <col min="11285" max="11285" width="8.85546875" style="2"/>
    <col min="11286" max="11286" width="10.28515625" style="2" bestFit="1" customWidth="1"/>
    <col min="11287" max="11521" width="8.85546875" style="2"/>
    <col min="11522" max="11522" width="10.140625" style="2" bestFit="1" customWidth="1"/>
    <col min="11523" max="11523" width="2.7109375" style="2" customWidth="1"/>
    <col min="11524" max="11524" width="11.85546875" style="2" customWidth="1"/>
    <col min="11525" max="11525" width="10.7109375" style="2" customWidth="1"/>
    <col min="11526" max="11526" width="11.28515625" style="2" customWidth="1"/>
    <col min="11527" max="11529" width="10.7109375" style="2" customWidth="1"/>
    <col min="11530" max="11530" width="11.85546875" style="2" customWidth="1"/>
    <col min="11531" max="11531" width="11.28515625" style="2" customWidth="1"/>
    <col min="11532" max="11532" width="12.28515625" style="2" customWidth="1"/>
    <col min="11533" max="11533" width="13.42578125" style="2" bestFit="1" customWidth="1"/>
    <col min="11534" max="11534" width="4.140625" style="2" customWidth="1"/>
    <col min="11535" max="11535" width="13.85546875" style="2" customWidth="1"/>
    <col min="11536" max="11536" width="12.28515625" style="2" customWidth="1"/>
    <col min="11537" max="11537" width="12.42578125" style="2" customWidth="1"/>
    <col min="11538" max="11538" width="13.5703125" style="2" bestFit="1" customWidth="1"/>
    <col min="11539" max="11539" width="4.42578125" style="2" customWidth="1"/>
    <col min="11540" max="11540" width="15" style="2" customWidth="1"/>
    <col min="11541" max="11541" width="8.85546875" style="2"/>
    <col min="11542" max="11542" width="10.28515625" style="2" bestFit="1" customWidth="1"/>
    <col min="11543" max="11777" width="8.85546875" style="2"/>
    <col min="11778" max="11778" width="10.140625" style="2" bestFit="1" customWidth="1"/>
    <col min="11779" max="11779" width="2.7109375" style="2" customWidth="1"/>
    <col min="11780" max="11780" width="11.85546875" style="2" customWidth="1"/>
    <col min="11781" max="11781" width="10.7109375" style="2" customWidth="1"/>
    <col min="11782" max="11782" width="11.28515625" style="2" customWidth="1"/>
    <col min="11783" max="11785" width="10.7109375" style="2" customWidth="1"/>
    <col min="11786" max="11786" width="11.85546875" style="2" customWidth="1"/>
    <col min="11787" max="11787" width="11.28515625" style="2" customWidth="1"/>
    <col min="11788" max="11788" width="12.28515625" style="2" customWidth="1"/>
    <col min="11789" max="11789" width="13.42578125" style="2" bestFit="1" customWidth="1"/>
    <col min="11790" max="11790" width="4.140625" style="2" customWidth="1"/>
    <col min="11791" max="11791" width="13.85546875" style="2" customWidth="1"/>
    <col min="11792" max="11792" width="12.28515625" style="2" customWidth="1"/>
    <col min="11793" max="11793" width="12.42578125" style="2" customWidth="1"/>
    <col min="11794" max="11794" width="13.5703125" style="2" bestFit="1" customWidth="1"/>
    <col min="11795" max="11795" width="4.42578125" style="2" customWidth="1"/>
    <col min="11796" max="11796" width="15" style="2" customWidth="1"/>
    <col min="11797" max="11797" width="8.85546875" style="2"/>
    <col min="11798" max="11798" width="10.28515625" style="2" bestFit="1" customWidth="1"/>
    <col min="11799" max="12033" width="8.85546875" style="2"/>
    <col min="12034" max="12034" width="10.140625" style="2" bestFit="1" customWidth="1"/>
    <col min="12035" max="12035" width="2.7109375" style="2" customWidth="1"/>
    <col min="12036" max="12036" width="11.85546875" style="2" customWidth="1"/>
    <col min="12037" max="12037" width="10.7109375" style="2" customWidth="1"/>
    <col min="12038" max="12038" width="11.28515625" style="2" customWidth="1"/>
    <col min="12039" max="12041" width="10.7109375" style="2" customWidth="1"/>
    <col min="12042" max="12042" width="11.85546875" style="2" customWidth="1"/>
    <col min="12043" max="12043" width="11.28515625" style="2" customWidth="1"/>
    <col min="12044" max="12044" width="12.28515625" style="2" customWidth="1"/>
    <col min="12045" max="12045" width="13.42578125" style="2" bestFit="1" customWidth="1"/>
    <col min="12046" max="12046" width="4.140625" style="2" customWidth="1"/>
    <col min="12047" max="12047" width="13.85546875" style="2" customWidth="1"/>
    <col min="12048" max="12048" width="12.28515625" style="2" customWidth="1"/>
    <col min="12049" max="12049" width="12.42578125" style="2" customWidth="1"/>
    <col min="12050" max="12050" width="13.5703125" style="2" bestFit="1" customWidth="1"/>
    <col min="12051" max="12051" width="4.42578125" style="2" customWidth="1"/>
    <col min="12052" max="12052" width="15" style="2" customWidth="1"/>
    <col min="12053" max="12053" width="8.85546875" style="2"/>
    <col min="12054" max="12054" width="10.28515625" style="2" bestFit="1" customWidth="1"/>
    <col min="12055" max="12289" width="8.85546875" style="2"/>
    <col min="12290" max="12290" width="10.140625" style="2" bestFit="1" customWidth="1"/>
    <col min="12291" max="12291" width="2.7109375" style="2" customWidth="1"/>
    <col min="12292" max="12292" width="11.85546875" style="2" customWidth="1"/>
    <col min="12293" max="12293" width="10.7109375" style="2" customWidth="1"/>
    <col min="12294" max="12294" width="11.28515625" style="2" customWidth="1"/>
    <col min="12295" max="12297" width="10.7109375" style="2" customWidth="1"/>
    <col min="12298" max="12298" width="11.85546875" style="2" customWidth="1"/>
    <col min="12299" max="12299" width="11.28515625" style="2" customWidth="1"/>
    <col min="12300" max="12300" width="12.28515625" style="2" customWidth="1"/>
    <col min="12301" max="12301" width="13.42578125" style="2" bestFit="1" customWidth="1"/>
    <col min="12302" max="12302" width="4.140625" style="2" customWidth="1"/>
    <col min="12303" max="12303" width="13.85546875" style="2" customWidth="1"/>
    <col min="12304" max="12304" width="12.28515625" style="2" customWidth="1"/>
    <col min="12305" max="12305" width="12.42578125" style="2" customWidth="1"/>
    <col min="12306" max="12306" width="13.5703125" style="2" bestFit="1" customWidth="1"/>
    <col min="12307" max="12307" width="4.42578125" style="2" customWidth="1"/>
    <col min="12308" max="12308" width="15" style="2" customWidth="1"/>
    <col min="12309" max="12309" width="8.85546875" style="2"/>
    <col min="12310" max="12310" width="10.28515625" style="2" bestFit="1" customWidth="1"/>
    <col min="12311" max="12545" width="8.85546875" style="2"/>
    <col min="12546" max="12546" width="10.140625" style="2" bestFit="1" customWidth="1"/>
    <col min="12547" max="12547" width="2.7109375" style="2" customWidth="1"/>
    <col min="12548" max="12548" width="11.85546875" style="2" customWidth="1"/>
    <col min="12549" max="12549" width="10.7109375" style="2" customWidth="1"/>
    <col min="12550" max="12550" width="11.28515625" style="2" customWidth="1"/>
    <col min="12551" max="12553" width="10.7109375" style="2" customWidth="1"/>
    <col min="12554" max="12554" width="11.85546875" style="2" customWidth="1"/>
    <col min="12555" max="12555" width="11.28515625" style="2" customWidth="1"/>
    <col min="12556" max="12556" width="12.28515625" style="2" customWidth="1"/>
    <col min="12557" max="12557" width="13.42578125" style="2" bestFit="1" customWidth="1"/>
    <col min="12558" max="12558" width="4.140625" style="2" customWidth="1"/>
    <col min="12559" max="12559" width="13.85546875" style="2" customWidth="1"/>
    <col min="12560" max="12560" width="12.28515625" style="2" customWidth="1"/>
    <col min="12561" max="12561" width="12.42578125" style="2" customWidth="1"/>
    <col min="12562" max="12562" width="13.5703125" style="2" bestFit="1" customWidth="1"/>
    <col min="12563" max="12563" width="4.42578125" style="2" customWidth="1"/>
    <col min="12564" max="12564" width="15" style="2" customWidth="1"/>
    <col min="12565" max="12565" width="8.85546875" style="2"/>
    <col min="12566" max="12566" width="10.28515625" style="2" bestFit="1" customWidth="1"/>
    <col min="12567" max="12801" width="8.85546875" style="2"/>
    <col min="12802" max="12802" width="10.140625" style="2" bestFit="1" customWidth="1"/>
    <col min="12803" max="12803" width="2.7109375" style="2" customWidth="1"/>
    <col min="12804" max="12804" width="11.85546875" style="2" customWidth="1"/>
    <col min="12805" max="12805" width="10.7109375" style="2" customWidth="1"/>
    <col min="12806" max="12806" width="11.28515625" style="2" customWidth="1"/>
    <col min="12807" max="12809" width="10.7109375" style="2" customWidth="1"/>
    <col min="12810" max="12810" width="11.85546875" style="2" customWidth="1"/>
    <col min="12811" max="12811" width="11.28515625" style="2" customWidth="1"/>
    <col min="12812" max="12812" width="12.28515625" style="2" customWidth="1"/>
    <col min="12813" max="12813" width="13.42578125" style="2" bestFit="1" customWidth="1"/>
    <col min="12814" max="12814" width="4.140625" style="2" customWidth="1"/>
    <col min="12815" max="12815" width="13.85546875" style="2" customWidth="1"/>
    <col min="12816" max="12816" width="12.28515625" style="2" customWidth="1"/>
    <col min="12817" max="12817" width="12.42578125" style="2" customWidth="1"/>
    <col min="12818" max="12818" width="13.5703125" style="2" bestFit="1" customWidth="1"/>
    <col min="12819" max="12819" width="4.42578125" style="2" customWidth="1"/>
    <col min="12820" max="12820" width="15" style="2" customWidth="1"/>
    <col min="12821" max="12821" width="8.85546875" style="2"/>
    <col min="12822" max="12822" width="10.28515625" style="2" bestFit="1" customWidth="1"/>
    <col min="12823" max="13057" width="8.85546875" style="2"/>
    <col min="13058" max="13058" width="10.140625" style="2" bestFit="1" customWidth="1"/>
    <col min="13059" max="13059" width="2.7109375" style="2" customWidth="1"/>
    <col min="13060" max="13060" width="11.85546875" style="2" customWidth="1"/>
    <col min="13061" max="13061" width="10.7109375" style="2" customWidth="1"/>
    <col min="13062" max="13062" width="11.28515625" style="2" customWidth="1"/>
    <col min="13063" max="13065" width="10.7109375" style="2" customWidth="1"/>
    <col min="13066" max="13066" width="11.85546875" style="2" customWidth="1"/>
    <col min="13067" max="13067" width="11.28515625" style="2" customWidth="1"/>
    <col min="13068" max="13068" width="12.28515625" style="2" customWidth="1"/>
    <col min="13069" max="13069" width="13.42578125" style="2" bestFit="1" customWidth="1"/>
    <col min="13070" max="13070" width="4.140625" style="2" customWidth="1"/>
    <col min="13071" max="13071" width="13.85546875" style="2" customWidth="1"/>
    <col min="13072" max="13072" width="12.28515625" style="2" customWidth="1"/>
    <col min="13073" max="13073" width="12.42578125" style="2" customWidth="1"/>
    <col min="13074" max="13074" width="13.5703125" style="2" bestFit="1" customWidth="1"/>
    <col min="13075" max="13075" width="4.42578125" style="2" customWidth="1"/>
    <col min="13076" max="13076" width="15" style="2" customWidth="1"/>
    <col min="13077" max="13077" width="8.85546875" style="2"/>
    <col min="13078" max="13078" width="10.28515625" style="2" bestFit="1" customWidth="1"/>
    <col min="13079" max="13313" width="8.85546875" style="2"/>
    <col min="13314" max="13314" width="10.140625" style="2" bestFit="1" customWidth="1"/>
    <col min="13315" max="13315" width="2.7109375" style="2" customWidth="1"/>
    <col min="13316" max="13316" width="11.85546875" style="2" customWidth="1"/>
    <col min="13317" max="13317" width="10.7109375" style="2" customWidth="1"/>
    <col min="13318" max="13318" width="11.28515625" style="2" customWidth="1"/>
    <col min="13319" max="13321" width="10.7109375" style="2" customWidth="1"/>
    <col min="13322" max="13322" width="11.85546875" style="2" customWidth="1"/>
    <col min="13323" max="13323" width="11.28515625" style="2" customWidth="1"/>
    <col min="13324" max="13324" width="12.28515625" style="2" customWidth="1"/>
    <col min="13325" max="13325" width="13.42578125" style="2" bestFit="1" customWidth="1"/>
    <col min="13326" max="13326" width="4.140625" style="2" customWidth="1"/>
    <col min="13327" max="13327" width="13.85546875" style="2" customWidth="1"/>
    <col min="13328" max="13328" width="12.28515625" style="2" customWidth="1"/>
    <col min="13329" max="13329" width="12.42578125" style="2" customWidth="1"/>
    <col min="13330" max="13330" width="13.5703125" style="2" bestFit="1" customWidth="1"/>
    <col min="13331" max="13331" width="4.42578125" style="2" customWidth="1"/>
    <col min="13332" max="13332" width="15" style="2" customWidth="1"/>
    <col min="13333" max="13333" width="8.85546875" style="2"/>
    <col min="13334" max="13334" width="10.28515625" style="2" bestFit="1" customWidth="1"/>
    <col min="13335" max="13569" width="8.85546875" style="2"/>
    <col min="13570" max="13570" width="10.140625" style="2" bestFit="1" customWidth="1"/>
    <col min="13571" max="13571" width="2.7109375" style="2" customWidth="1"/>
    <col min="13572" max="13572" width="11.85546875" style="2" customWidth="1"/>
    <col min="13573" max="13573" width="10.7109375" style="2" customWidth="1"/>
    <col min="13574" max="13574" width="11.28515625" style="2" customWidth="1"/>
    <col min="13575" max="13577" width="10.7109375" style="2" customWidth="1"/>
    <col min="13578" max="13578" width="11.85546875" style="2" customWidth="1"/>
    <col min="13579" max="13579" width="11.28515625" style="2" customWidth="1"/>
    <col min="13580" max="13580" width="12.28515625" style="2" customWidth="1"/>
    <col min="13581" max="13581" width="13.42578125" style="2" bestFit="1" customWidth="1"/>
    <col min="13582" max="13582" width="4.140625" style="2" customWidth="1"/>
    <col min="13583" max="13583" width="13.85546875" style="2" customWidth="1"/>
    <col min="13584" max="13584" width="12.28515625" style="2" customWidth="1"/>
    <col min="13585" max="13585" width="12.42578125" style="2" customWidth="1"/>
    <col min="13586" max="13586" width="13.5703125" style="2" bestFit="1" customWidth="1"/>
    <col min="13587" max="13587" width="4.42578125" style="2" customWidth="1"/>
    <col min="13588" max="13588" width="15" style="2" customWidth="1"/>
    <col min="13589" max="13589" width="8.85546875" style="2"/>
    <col min="13590" max="13590" width="10.28515625" style="2" bestFit="1" customWidth="1"/>
    <col min="13591" max="13825" width="8.85546875" style="2"/>
    <col min="13826" max="13826" width="10.140625" style="2" bestFit="1" customWidth="1"/>
    <col min="13827" max="13827" width="2.7109375" style="2" customWidth="1"/>
    <col min="13828" max="13828" width="11.85546875" style="2" customWidth="1"/>
    <col min="13829" max="13829" width="10.7109375" style="2" customWidth="1"/>
    <col min="13830" max="13830" width="11.28515625" style="2" customWidth="1"/>
    <col min="13831" max="13833" width="10.7109375" style="2" customWidth="1"/>
    <col min="13834" max="13834" width="11.85546875" style="2" customWidth="1"/>
    <col min="13835" max="13835" width="11.28515625" style="2" customWidth="1"/>
    <col min="13836" max="13836" width="12.28515625" style="2" customWidth="1"/>
    <col min="13837" max="13837" width="13.42578125" style="2" bestFit="1" customWidth="1"/>
    <col min="13838" max="13838" width="4.140625" style="2" customWidth="1"/>
    <col min="13839" max="13839" width="13.85546875" style="2" customWidth="1"/>
    <col min="13840" max="13840" width="12.28515625" style="2" customWidth="1"/>
    <col min="13841" max="13841" width="12.42578125" style="2" customWidth="1"/>
    <col min="13842" max="13842" width="13.5703125" style="2" bestFit="1" customWidth="1"/>
    <col min="13843" max="13843" width="4.42578125" style="2" customWidth="1"/>
    <col min="13844" max="13844" width="15" style="2" customWidth="1"/>
    <col min="13845" max="13845" width="8.85546875" style="2"/>
    <col min="13846" max="13846" width="10.28515625" style="2" bestFit="1" customWidth="1"/>
    <col min="13847" max="14081" width="8.85546875" style="2"/>
    <col min="14082" max="14082" width="10.140625" style="2" bestFit="1" customWidth="1"/>
    <col min="14083" max="14083" width="2.7109375" style="2" customWidth="1"/>
    <col min="14084" max="14084" width="11.85546875" style="2" customWidth="1"/>
    <col min="14085" max="14085" width="10.7109375" style="2" customWidth="1"/>
    <col min="14086" max="14086" width="11.28515625" style="2" customWidth="1"/>
    <col min="14087" max="14089" width="10.7109375" style="2" customWidth="1"/>
    <col min="14090" max="14090" width="11.85546875" style="2" customWidth="1"/>
    <col min="14091" max="14091" width="11.28515625" style="2" customWidth="1"/>
    <col min="14092" max="14092" width="12.28515625" style="2" customWidth="1"/>
    <col min="14093" max="14093" width="13.42578125" style="2" bestFit="1" customWidth="1"/>
    <col min="14094" max="14094" width="4.140625" style="2" customWidth="1"/>
    <col min="14095" max="14095" width="13.85546875" style="2" customWidth="1"/>
    <col min="14096" max="14096" width="12.28515625" style="2" customWidth="1"/>
    <col min="14097" max="14097" width="12.42578125" style="2" customWidth="1"/>
    <col min="14098" max="14098" width="13.5703125" style="2" bestFit="1" customWidth="1"/>
    <col min="14099" max="14099" width="4.42578125" style="2" customWidth="1"/>
    <col min="14100" max="14100" width="15" style="2" customWidth="1"/>
    <col min="14101" max="14101" width="8.85546875" style="2"/>
    <col min="14102" max="14102" width="10.28515625" style="2" bestFit="1" customWidth="1"/>
    <col min="14103" max="14337" width="8.85546875" style="2"/>
    <col min="14338" max="14338" width="10.140625" style="2" bestFit="1" customWidth="1"/>
    <col min="14339" max="14339" width="2.7109375" style="2" customWidth="1"/>
    <col min="14340" max="14340" width="11.85546875" style="2" customWidth="1"/>
    <col min="14341" max="14341" width="10.7109375" style="2" customWidth="1"/>
    <col min="14342" max="14342" width="11.28515625" style="2" customWidth="1"/>
    <col min="14343" max="14345" width="10.7109375" style="2" customWidth="1"/>
    <col min="14346" max="14346" width="11.85546875" style="2" customWidth="1"/>
    <col min="14347" max="14347" width="11.28515625" style="2" customWidth="1"/>
    <col min="14348" max="14348" width="12.28515625" style="2" customWidth="1"/>
    <col min="14349" max="14349" width="13.42578125" style="2" bestFit="1" customWidth="1"/>
    <col min="14350" max="14350" width="4.140625" style="2" customWidth="1"/>
    <col min="14351" max="14351" width="13.85546875" style="2" customWidth="1"/>
    <col min="14352" max="14352" width="12.28515625" style="2" customWidth="1"/>
    <col min="14353" max="14353" width="12.42578125" style="2" customWidth="1"/>
    <col min="14354" max="14354" width="13.5703125" style="2" bestFit="1" customWidth="1"/>
    <col min="14355" max="14355" width="4.42578125" style="2" customWidth="1"/>
    <col min="14356" max="14356" width="15" style="2" customWidth="1"/>
    <col min="14357" max="14357" width="8.85546875" style="2"/>
    <col min="14358" max="14358" width="10.28515625" style="2" bestFit="1" customWidth="1"/>
    <col min="14359" max="14593" width="8.85546875" style="2"/>
    <col min="14594" max="14594" width="10.140625" style="2" bestFit="1" customWidth="1"/>
    <col min="14595" max="14595" width="2.7109375" style="2" customWidth="1"/>
    <col min="14596" max="14596" width="11.85546875" style="2" customWidth="1"/>
    <col min="14597" max="14597" width="10.7109375" style="2" customWidth="1"/>
    <col min="14598" max="14598" width="11.28515625" style="2" customWidth="1"/>
    <col min="14599" max="14601" width="10.7109375" style="2" customWidth="1"/>
    <col min="14602" max="14602" width="11.85546875" style="2" customWidth="1"/>
    <col min="14603" max="14603" width="11.28515625" style="2" customWidth="1"/>
    <col min="14604" max="14604" width="12.28515625" style="2" customWidth="1"/>
    <col min="14605" max="14605" width="13.42578125" style="2" bestFit="1" customWidth="1"/>
    <col min="14606" max="14606" width="4.140625" style="2" customWidth="1"/>
    <col min="14607" max="14607" width="13.85546875" style="2" customWidth="1"/>
    <col min="14608" max="14608" width="12.28515625" style="2" customWidth="1"/>
    <col min="14609" max="14609" width="12.42578125" style="2" customWidth="1"/>
    <col min="14610" max="14610" width="13.5703125" style="2" bestFit="1" customWidth="1"/>
    <col min="14611" max="14611" width="4.42578125" style="2" customWidth="1"/>
    <col min="14612" max="14612" width="15" style="2" customWidth="1"/>
    <col min="14613" max="14613" width="8.85546875" style="2"/>
    <col min="14614" max="14614" width="10.28515625" style="2" bestFit="1" customWidth="1"/>
    <col min="14615" max="14849" width="8.85546875" style="2"/>
    <col min="14850" max="14850" width="10.140625" style="2" bestFit="1" customWidth="1"/>
    <col min="14851" max="14851" width="2.7109375" style="2" customWidth="1"/>
    <col min="14852" max="14852" width="11.85546875" style="2" customWidth="1"/>
    <col min="14853" max="14853" width="10.7109375" style="2" customWidth="1"/>
    <col min="14854" max="14854" width="11.28515625" style="2" customWidth="1"/>
    <col min="14855" max="14857" width="10.7109375" style="2" customWidth="1"/>
    <col min="14858" max="14858" width="11.85546875" style="2" customWidth="1"/>
    <col min="14859" max="14859" width="11.28515625" style="2" customWidth="1"/>
    <col min="14860" max="14860" width="12.28515625" style="2" customWidth="1"/>
    <col min="14861" max="14861" width="13.42578125" style="2" bestFit="1" customWidth="1"/>
    <col min="14862" max="14862" width="4.140625" style="2" customWidth="1"/>
    <col min="14863" max="14863" width="13.85546875" style="2" customWidth="1"/>
    <col min="14864" max="14864" width="12.28515625" style="2" customWidth="1"/>
    <col min="14865" max="14865" width="12.42578125" style="2" customWidth="1"/>
    <col min="14866" max="14866" width="13.5703125" style="2" bestFit="1" customWidth="1"/>
    <col min="14867" max="14867" width="4.42578125" style="2" customWidth="1"/>
    <col min="14868" max="14868" width="15" style="2" customWidth="1"/>
    <col min="14869" max="14869" width="8.85546875" style="2"/>
    <col min="14870" max="14870" width="10.28515625" style="2" bestFit="1" customWidth="1"/>
    <col min="14871" max="15105" width="8.85546875" style="2"/>
    <col min="15106" max="15106" width="10.140625" style="2" bestFit="1" customWidth="1"/>
    <col min="15107" max="15107" width="2.7109375" style="2" customWidth="1"/>
    <col min="15108" max="15108" width="11.85546875" style="2" customWidth="1"/>
    <col min="15109" max="15109" width="10.7109375" style="2" customWidth="1"/>
    <col min="15110" max="15110" width="11.28515625" style="2" customWidth="1"/>
    <col min="15111" max="15113" width="10.7109375" style="2" customWidth="1"/>
    <col min="15114" max="15114" width="11.85546875" style="2" customWidth="1"/>
    <col min="15115" max="15115" width="11.28515625" style="2" customWidth="1"/>
    <col min="15116" max="15116" width="12.28515625" style="2" customWidth="1"/>
    <col min="15117" max="15117" width="13.42578125" style="2" bestFit="1" customWidth="1"/>
    <col min="15118" max="15118" width="4.140625" style="2" customWidth="1"/>
    <col min="15119" max="15119" width="13.85546875" style="2" customWidth="1"/>
    <col min="15120" max="15120" width="12.28515625" style="2" customWidth="1"/>
    <col min="15121" max="15121" width="12.42578125" style="2" customWidth="1"/>
    <col min="15122" max="15122" width="13.5703125" style="2" bestFit="1" customWidth="1"/>
    <col min="15123" max="15123" width="4.42578125" style="2" customWidth="1"/>
    <col min="15124" max="15124" width="15" style="2" customWidth="1"/>
    <col min="15125" max="15125" width="8.85546875" style="2"/>
    <col min="15126" max="15126" width="10.28515625" style="2" bestFit="1" customWidth="1"/>
    <col min="15127" max="15361" width="8.85546875" style="2"/>
    <col min="15362" max="15362" width="10.140625" style="2" bestFit="1" customWidth="1"/>
    <col min="15363" max="15363" width="2.7109375" style="2" customWidth="1"/>
    <col min="15364" max="15364" width="11.85546875" style="2" customWidth="1"/>
    <col min="15365" max="15365" width="10.7109375" style="2" customWidth="1"/>
    <col min="15366" max="15366" width="11.28515625" style="2" customWidth="1"/>
    <col min="15367" max="15369" width="10.7109375" style="2" customWidth="1"/>
    <col min="15370" max="15370" width="11.85546875" style="2" customWidth="1"/>
    <col min="15371" max="15371" width="11.28515625" style="2" customWidth="1"/>
    <col min="15372" max="15372" width="12.28515625" style="2" customWidth="1"/>
    <col min="15373" max="15373" width="13.42578125" style="2" bestFit="1" customWidth="1"/>
    <col min="15374" max="15374" width="4.140625" style="2" customWidth="1"/>
    <col min="15375" max="15375" width="13.85546875" style="2" customWidth="1"/>
    <col min="15376" max="15376" width="12.28515625" style="2" customWidth="1"/>
    <col min="15377" max="15377" width="12.42578125" style="2" customWidth="1"/>
    <col min="15378" max="15378" width="13.5703125" style="2" bestFit="1" customWidth="1"/>
    <col min="15379" max="15379" width="4.42578125" style="2" customWidth="1"/>
    <col min="15380" max="15380" width="15" style="2" customWidth="1"/>
    <col min="15381" max="15381" width="8.85546875" style="2"/>
    <col min="15382" max="15382" width="10.28515625" style="2" bestFit="1" customWidth="1"/>
    <col min="15383" max="15617" width="8.85546875" style="2"/>
    <col min="15618" max="15618" width="10.140625" style="2" bestFit="1" customWidth="1"/>
    <col min="15619" max="15619" width="2.7109375" style="2" customWidth="1"/>
    <col min="15620" max="15620" width="11.85546875" style="2" customWidth="1"/>
    <col min="15621" max="15621" width="10.7109375" style="2" customWidth="1"/>
    <col min="15622" max="15622" width="11.28515625" style="2" customWidth="1"/>
    <col min="15623" max="15625" width="10.7109375" style="2" customWidth="1"/>
    <col min="15626" max="15626" width="11.85546875" style="2" customWidth="1"/>
    <col min="15627" max="15627" width="11.28515625" style="2" customWidth="1"/>
    <col min="15628" max="15628" width="12.28515625" style="2" customWidth="1"/>
    <col min="15629" max="15629" width="13.42578125" style="2" bestFit="1" customWidth="1"/>
    <col min="15630" max="15630" width="4.140625" style="2" customWidth="1"/>
    <col min="15631" max="15631" width="13.85546875" style="2" customWidth="1"/>
    <col min="15632" max="15632" width="12.28515625" style="2" customWidth="1"/>
    <col min="15633" max="15633" width="12.42578125" style="2" customWidth="1"/>
    <col min="15634" max="15634" width="13.5703125" style="2" bestFit="1" customWidth="1"/>
    <col min="15635" max="15635" width="4.42578125" style="2" customWidth="1"/>
    <col min="15636" max="15636" width="15" style="2" customWidth="1"/>
    <col min="15637" max="15637" width="8.85546875" style="2"/>
    <col min="15638" max="15638" width="10.28515625" style="2" bestFit="1" customWidth="1"/>
    <col min="15639" max="15873" width="8.85546875" style="2"/>
    <col min="15874" max="15874" width="10.140625" style="2" bestFit="1" customWidth="1"/>
    <col min="15875" max="15875" width="2.7109375" style="2" customWidth="1"/>
    <col min="15876" max="15876" width="11.85546875" style="2" customWidth="1"/>
    <col min="15877" max="15877" width="10.7109375" style="2" customWidth="1"/>
    <col min="15878" max="15878" width="11.28515625" style="2" customWidth="1"/>
    <col min="15879" max="15881" width="10.7109375" style="2" customWidth="1"/>
    <col min="15882" max="15882" width="11.85546875" style="2" customWidth="1"/>
    <col min="15883" max="15883" width="11.28515625" style="2" customWidth="1"/>
    <col min="15884" max="15884" width="12.28515625" style="2" customWidth="1"/>
    <col min="15885" max="15885" width="13.42578125" style="2" bestFit="1" customWidth="1"/>
    <col min="15886" max="15886" width="4.140625" style="2" customWidth="1"/>
    <col min="15887" max="15887" width="13.85546875" style="2" customWidth="1"/>
    <col min="15888" max="15888" width="12.28515625" style="2" customWidth="1"/>
    <col min="15889" max="15889" width="12.42578125" style="2" customWidth="1"/>
    <col min="15890" max="15890" width="13.5703125" style="2" bestFit="1" customWidth="1"/>
    <col min="15891" max="15891" width="4.42578125" style="2" customWidth="1"/>
    <col min="15892" max="15892" width="15" style="2" customWidth="1"/>
    <col min="15893" max="15893" width="8.85546875" style="2"/>
    <col min="15894" max="15894" width="10.28515625" style="2" bestFit="1" customWidth="1"/>
    <col min="15895" max="16129" width="8.85546875" style="2"/>
    <col min="16130" max="16130" width="10.140625" style="2" bestFit="1" customWidth="1"/>
    <col min="16131" max="16131" width="2.7109375" style="2" customWidth="1"/>
    <col min="16132" max="16132" width="11.85546875" style="2" customWidth="1"/>
    <col min="16133" max="16133" width="10.7109375" style="2" customWidth="1"/>
    <col min="16134" max="16134" width="11.28515625" style="2" customWidth="1"/>
    <col min="16135" max="16137" width="10.7109375" style="2" customWidth="1"/>
    <col min="16138" max="16138" width="11.85546875" style="2" customWidth="1"/>
    <col min="16139" max="16139" width="11.28515625" style="2" customWidth="1"/>
    <col min="16140" max="16140" width="12.28515625" style="2" customWidth="1"/>
    <col min="16141" max="16141" width="13.42578125" style="2" bestFit="1" customWidth="1"/>
    <col min="16142" max="16142" width="4.140625" style="2" customWidth="1"/>
    <col min="16143" max="16143" width="13.85546875" style="2" customWidth="1"/>
    <col min="16144" max="16144" width="12.28515625" style="2" customWidth="1"/>
    <col min="16145" max="16145" width="12.42578125" style="2" customWidth="1"/>
    <col min="16146" max="16146" width="13.5703125" style="2" bestFit="1" customWidth="1"/>
    <col min="16147" max="16147" width="4.42578125" style="2" customWidth="1"/>
    <col min="16148" max="16148" width="15" style="2" customWidth="1"/>
    <col min="16149" max="16149" width="8.85546875" style="2"/>
    <col min="16150" max="16150" width="10.28515625" style="2" bestFit="1" customWidth="1"/>
    <col min="16151" max="16384" width="8.85546875" style="2"/>
  </cols>
  <sheetData>
    <row r="1" spans="1:22" x14ac:dyDescent="0.2">
      <c r="A1" s="1" t="s">
        <v>0</v>
      </c>
      <c r="C1" s="383" t="s">
        <v>236</v>
      </c>
      <c r="D1" s="384">
        <v>2022</v>
      </c>
      <c r="G1" s="217"/>
    </row>
    <row r="3" spans="1:22" x14ac:dyDescent="0.2">
      <c r="A3" s="5"/>
    </row>
    <row r="4" spans="1:22" s="1" customFormat="1" x14ac:dyDescent="0.2">
      <c r="B4" s="230"/>
      <c r="C4" s="491" t="s">
        <v>1</v>
      </c>
      <c r="D4" s="492"/>
      <c r="E4" s="492"/>
      <c r="F4" s="492"/>
      <c r="G4" s="492"/>
      <c r="H4" s="492"/>
      <c r="I4" s="492"/>
      <c r="J4" s="492"/>
      <c r="K4" s="492"/>
      <c r="L4" s="492"/>
      <c r="M4" s="493"/>
      <c r="N4" s="6"/>
      <c r="O4" s="494" t="s">
        <v>2</v>
      </c>
      <c r="P4" s="495"/>
      <c r="Q4" s="495"/>
      <c r="R4" s="496"/>
      <c r="S4" s="7"/>
      <c r="T4" s="8" t="s">
        <v>3</v>
      </c>
    </row>
    <row r="5" spans="1:22" x14ac:dyDescent="0.2">
      <c r="B5" s="231"/>
      <c r="C5" s="9"/>
      <c r="D5" s="9"/>
      <c r="E5" s="9" t="s">
        <v>4</v>
      </c>
      <c r="F5" s="9" t="s">
        <v>5</v>
      </c>
      <c r="G5" s="10" t="s">
        <v>6</v>
      </c>
      <c r="H5" s="10" t="s">
        <v>6</v>
      </c>
      <c r="I5" s="154" t="s">
        <v>7</v>
      </c>
      <c r="J5" s="154" t="s">
        <v>8</v>
      </c>
      <c r="K5" s="154" t="s">
        <v>9</v>
      </c>
      <c r="L5" s="9" t="s">
        <v>10</v>
      </c>
      <c r="M5" s="11" t="s">
        <v>10</v>
      </c>
      <c r="O5" s="4"/>
      <c r="P5" s="12" t="s">
        <v>11</v>
      </c>
      <c r="Q5" s="4"/>
      <c r="R5" s="4"/>
    </row>
    <row r="6" spans="1:22" s="1" customFormat="1" x14ac:dyDescent="0.2">
      <c r="B6" s="230"/>
      <c r="C6" s="13" t="s">
        <v>6</v>
      </c>
      <c r="D6" s="14" t="s">
        <v>7</v>
      </c>
      <c r="E6" s="15" t="s">
        <v>12</v>
      </c>
      <c r="F6" s="15" t="s">
        <v>12</v>
      </c>
      <c r="G6" s="14" t="s">
        <v>109</v>
      </c>
      <c r="H6" s="14" t="s">
        <v>100</v>
      </c>
      <c r="I6" s="155" t="s">
        <v>12</v>
      </c>
      <c r="J6" s="155" t="s">
        <v>12</v>
      </c>
      <c r="K6" s="155" t="s">
        <v>13</v>
      </c>
      <c r="L6" s="15" t="s">
        <v>14</v>
      </c>
      <c r="M6" s="16" t="s">
        <v>15</v>
      </c>
      <c r="N6" s="7"/>
      <c r="O6" s="7" t="s">
        <v>16</v>
      </c>
      <c r="P6" s="12" t="s">
        <v>17</v>
      </c>
      <c r="Q6" s="7" t="s">
        <v>18</v>
      </c>
      <c r="R6" s="7" t="s">
        <v>14</v>
      </c>
      <c r="S6" s="7"/>
    </row>
    <row r="7" spans="1:22" x14ac:dyDescent="0.2">
      <c r="A7" s="17" t="s">
        <v>19</v>
      </c>
      <c r="B7" s="232"/>
      <c r="C7" s="19"/>
      <c r="D7" s="20"/>
      <c r="E7" s="21"/>
      <c r="F7" s="21"/>
      <c r="G7" s="20"/>
      <c r="H7" s="20"/>
      <c r="I7" s="151"/>
      <c r="J7" s="20"/>
      <c r="K7" s="20"/>
      <c r="L7" s="21"/>
      <c r="M7" s="22"/>
      <c r="N7" s="23"/>
      <c r="O7" s="24"/>
      <c r="P7" s="25"/>
      <c r="Q7" s="25"/>
      <c r="R7" s="26"/>
      <c r="S7" s="23"/>
      <c r="T7" s="18"/>
      <c r="U7" s="18"/>
      <c r="V7" s="18"/>
    </row>
    <row r="8" spans="1:22" x14ac:dyDescent="0.2">
      <c r="A8" s="385">
        <v>44805</v>
      </c>
      <c r="B8" s="232" t="str">
        <f>TEXT(A8, "DDD")</f>
        <v>Thu</v>
      </c>
      <c r="C8" s="152">
        <f t="array" ref="C8:C38">TRANSPOSE(Pool!C32:AG32)</f>
        <v>693.58</v>
      </c>
      <c r="D8" s="58">
        <f>'Box Canon'!C18+'Box Canon'!C19</f>
        <v>770.46</v>
      </c>
      <c r="E8" s="21"/>
      <c r="F8" s="21"/>
      <c r="G8" s="151">
        <f t="array" ref="G8:G38">TRANSPOSE(Pool!C33:AG33)</f>
        <v>3900.27</v>
      </c>
      <c r="H8" s="151">
        <f t="array" ref="H8:H38">TRANSPOSE(Pool!C34:AG34)</f>
        <v>0</v>
      </c>
      <c r="I8" s="151">
        <f>'Box Canon'!C20+'Box Canon'!C21</f>
        <v>775.26</v>
      </c>
      <c r="J8" s="149"/>
      <c r="K8" s="149"/>
      <c r="L8" s="21"/>
      <c r="M8" s="28"/>
      <c r="N8" s="23"/>
      <c r="O8" s="29"/>
      <c r="P8" s="30"/>
      <c r="Q8" s="31"/>
      <c r="R8" s="32"/>
      <c r="S8" s="23"/>
      <c r="T8" s="18"/>
      <c r="U8" s="18"/>
      <c r="V8" s="18"/>
    </row>
    <row r="9" spans="1:22" x14ac:dyDescent="0.2">
      <c r="A9" s="216">
        <f>SUM(A8+1)</f>
        <v>44806</v>
      </c>
      <c r="B9" s="232" t="str">
        <f t="shared" ref="B9:B38" si="0">TEXT(A9, "DDD")</f>
        <v>Fri</v>
      </c>
      <c r="C9" s="152">
        <v>1063.1300000000001</v>
      </c>
      <c r="D9" s="58">
        <f>'Box Canon'!D18+'Box Canon'!D19</f>
        <v>781.28</v>
      </c>
      <c r="E9" s="21"/>
      <c r="F9" s="21"/>
      <c r="G9" s="151">
        <v>6724.77</v>
      </c>
      <c r="H9" s="151">
        <v>270</v>
      </c>
      <c r="I9" s="151">
        <f>'Box Canon'!D20+'Box Canon'!D21</f>
        <v>829.8</v>
      </c>
      <c r="J9" s="149"/>
      <c r="K9" s="149"/>
      <c r="L9" s="21"/>
      <c r="M9" s="28"/>
      <c r="N9" s="33"/>
      <c r="O9" s="29"/>
      <c r="P9" s="34"/>
      <c r="Q9" s="31"/>
      <c r="R9" s="32"/>
      <c r="S9" s="33"/>
      <c r="T9" s="18"/>
      <c r="U9" s="18"/>
      <c r="V9" s="18"/>
    </row>
    <row r="10" spans="1:22" x14ac:dyDescent="0.2">
      <c r="A10" s="216">
        <f t="shared" ref="A10:A38" si="1">SUM(A9+1)</f>
        <v>44807</v>
      </c>
      <c r="B10" s="232" t="str">
        <f t="shared" si="0"/>
        <v>Sat</v>
      </c>
      <c r="C10" s="152">
        <v>2701.09</v>
      </c>
      <c r="D10" s="58">
        <f>'Box Canon'!E18+'Box Canon'!E19</f>
        <v>2189.1</v>
      </c>
      <c r="E10" s="21"/>
      <c r="F10" s="21"/>
      <c r="G10" s="151">
        <v>19389.29</v>
      </c>
      <c r="H10" s="151">
        <v>0</v>
      </c>
      <c r="I10" s="151">
        <f>'Box Canon'!E20+'Box Canon'!E21</f>
        <v>2470.35</v>
      </c>
      <c r="J10" s="149"/>
      <c r="K10" s="149"/>
      <c r="L10" s="21"/>
      <c r="M10" s="28"/>
      <c r="N10" s="33"/>
      <c r="O10" s="29"/>
      <c r="P10" s="30"/>
      <c r="Q10" s="31"/>
      <c r="R10" s="32"/>
      <c r="S10" s="33"/>
      <c r="T10" s="18"/>
      <c r="U10" s="18"/>
      <c r="V10" s="18"/>
    </row>
    <row r="11" spans="1:22" x14ac:dyDescent="0.2">
      <c r="A11" s="216">
        <f t="shared" si="1"/>
        <v>44808</v>
      </c>
      <c r="B11" s="232" t="str">
        <f t="shared" si="0"/>
        <v>Sun</v>
      </c>
      <c r="C11" s="152">
        <v>3834.97</v>
      </c>
      <c r="D11" s="58">
        <f>'Box Canon'!F18+'Box Canon'!F19</f>
        <v>1486.54</v>
      </c>
      <c r="E11" s="21"/>
      <c r="F11" s="21"/>
      <c r="G11" s="151">
        <v>21313.52</v>
      </c>
      <c r="H11" s="153">
        <v>0</v>
      </c>
      <c r="I11" s="151">
        <f>'Box Canon'!F20+'Box Canon'!F21</f>
        <v>3035.3599999999997</v>
      </c>
      <c r="J11" s="149"/>
      <c r="K11" s="149"/>
      <c r="L11" s="21"/>
      <c r="M11" s="28"/>
      <c r="N11" s="33"/>
      <c r="O11" s="29"/>
      <c r="P11" s="30"/>
      <c r="Q11" s="30"/>
      <c r="R11" s="32"/>
      <c r="S11" s="33"/>
      <c r="T11" s="18"/>
      <c r="U11" s="18"/>
      <c r="V11" s="18"/>
    </row>
    <row r="12" spans="1:22" x14ac:dyDescent="0.2">
      <c r="A12" s="216">
        <f t="shared" si="1"/>
        <v>44809</v>
      </c>
      <c r="B12" s="232" t="str">
        <f t="shared" si="0"/>
        <v>Mon</v>
      </c>
      <c r="C12" s="152">
        <v>1817.74</v>
      </c>
      <c r="D12" s="58">
        <f>'Box Canon'!G18+'Box Canon'!G19</f>
        <v>1196.31</v>
      </c>
      <c r="E12" s="21"/>
      <c r="F12" s="21"/>
      <c r="G12" s="151">
        <v>9204.7099999999991</v>
      </c>
      <c r="H12" s="153">
        <v>0</v>
      </c>
      <c r="I12" s="151">
        <f>'Box Canon'!G20+'Box Canon'!G21</f>
        <v>1649</v>
      </c>
      <c r="J12" s="149"/>
      <c r="K12" s="149"/>
      <c r="L12" s="21"/>
      <c r="M12" s="28"/>
      <c r="N12" s="35"/>
      <c r="O12" s="29"/>
      <c r="P12" s="30"/>
      <c r="Q12" s="30"/>
      <c r="R12" s="32"/>
      <c r="S12" s="33"/>
      <c r="T12" s="18"/>
      <c r="U12" s="18"/>
      <c r="V12" s="18"/>
    </row>
    <row r="13" spans="1:22" x14ac:dyDescent="0.2">
      <c r="A13" s="216">
        <f t="shared" si="1"/>
        <v>44810</v>
      </c>
      <c r="B13" s="232" t="str">
        <f t="shared" si="0"/>
        <v>Tue</v>
      </c>
      <c r="C13" s="152">
        <v>1648.22</v>
      </c>
      <c r="D13" s="58">
        <f>'Box Canon'!H18+'Box Canon'!H19</f>
        <v>782.28</v>
      </c>
      <c r="E13" s="21"/>
      <c r="F13" s="21"/>
      <c r="G13" s="151">
        <v>3861.53</v>
      </c>
      <c r="H13" s="153">
        <v>0</v>
      </c>
      <c r="I13" s="151">
        <f>'Box Canon'!H20+'Box Canon'!H21</f>
        <v>903.23</v>
      </c>
      <c r="J13" s="149"/>
      <c r="K13" s="149"/>
      <c r="L13" s="21"/>
      <c r="M13" s="28"/>
      <c r="N13" s="33"/>
      <c r="O13" s="29"/>
      <c r="P13" s="30"/>
      <c r="Q13" s="30"/>
      <c r="R13" s="32"/>
      <c r="S13" s="36"/>
      <c r="T13" s="18"/>
      <c r="U13" s="18"/>
      <c r="V13" s="18"/>
    </row>
    <row r="14" spans="1:22" x14ac:dyDescent="0.2">
      <c r="A14" s="216">
        <f t="shared" si="1"/>
        <v>44811</v>
      </c>
      <c r="B14" s="232" t="str">
        <f t="shared" si="0"/>
        <v>Wed</v>
      </c>
      <c r="C14" s="152">
        <v>1188.82</v>
      </c>
      <c r="D14" s="58">
        <f>'Box Canon'!I18+'Box Canon'!I19</f>
        <v>926.51</v>
      </c>
      <c r="E14" s="21"/>
      <c r="F14" s="21"/>
      <c r="G14" s="151">
        <v>3747.99</v>
      </c>
      <c r="H14" s="153">
        <v>0</v>
      </c>
      <c r="I14" s="151">
        <f>'Box Canon'!I20+'Box Canon'!I21</f>
        <v>804.41000000000008</v>
      </c>
      <c r="J14" s="149"/>
      <c r="K14" s="149"/>
      <c r="L14" s="21"/>
      <c r="M14" s="28"/>
      <c r="N14" s="33"/>
      <c r="O14" s="29"/>
      <c r="P14" s="30"/>
      <c r="Q14" s="37"/>
      <c r="R14" s="32"/>
      <c r="S14" s="33"/>
      <c r="T14" s="18"/>
      <c r="U14" s="18"/>
      <c r="V14" s="18"/>
    </row>
    <row r="15" spans="1:22" x14ac:dyDescent="0.2">
      <c r="A15" s="216">
        <f t="shared" si="1"/>
        <v>44812</v>
      </c>
      <c r="B15" s="232" t="str">
        <f t="shared" si="0"/>
        <v>Thu</v>
      </c>
      <c r="C15" s="152">
        <v>1093.4000000000001</v>
      </c>
      <c r="D15" s="58">
        <f>'Box Canon'!J18+'Box Canon'!J19</f>
        <v>970.83999999999992</v>
      </c>
      <c r="E15" s="21"/>
      <c r="F15" s="21"/>
      <c r="G15" s="151">
        <v>3828.51</v>
      </c>
      <c r="H15" s="153">
        <v>0</v>
      </c>
      <c r="I15" s="151">
        <f>'Box Canon'!J20+'Box Canon'!J21</f>
        <v>605.03</v>
      </c>
      <c r="J15" s="149"/>
      <c r="K15" s="149"/>
      <c r="L15" s="21"/>
      <c r="M15" s="28"/>
      <c r="N15" s="35"/>
      <c r="O15" s="29"/>
      <c r="P15" s="30"/>
      <c r="Q15" s="37"/>
      <c r="R15" s="32"/>
      <c r="S15" s="23"/>
      <c r="T15" s="18"/>
      <c r="U15" s="18"/>
      <c r="V15" s="18"/>
    </row>
    <row r="16" spans="1:22" x14ac:dyDescent="0.2">
      <c r="A16" s="216">
        <f t="shared" si="1"/>
        <v>44813</v>
      </c>
      <c r="B16" s="232" t="str">
        <f t="shared" si="0"/>
        <v>Fri</v>
      </c>
      <c r="C16" s="152">
        <v>1907.97</v>
      </c>
      <c r="D16" s="58">
        <f>'Box Canon'!K18+'Box Canon'!K19</f>
        <v>737.83999999999992</v>
      </c>
      <c r="E16" s="21"/>
      <c r="F16" s="21"/>
      <c r="G16" s="151">
        <v>5932.89</v>
      </c>
      <c r="H16" s="153">
        <v>0</v>
      </c>
      <c r="I16" s="151">
        <f>'Box Canon'!K20+'Box Canon'!K21</f>
        <v>733.62</v>
      </c>
      <c r="J16" s="149"/>
      <c r="K16" s="149"/>
      <c r="L16" s="21"/>
      <c r="M16" s="28"/>
      <c r="N16" s="33"/>
      <c r="O16" s="29"/>
      <c r="P16" s="30"/>
      <c r="Q16" s="37"/>
      <c r="R16" s="32"/>
      <c r="S16" s="33"/>
      <c r="T16" s="18"/>
      <c r="U16" s="18"/>
      <c r="V16" s="18"/>
    </row>
    <row r="17" spans="1:22" x14ac:dyDescent="0.2">
      <c r="A17" s="216">
        <f t="shared" si="1"/>
        <v>44814</v>
      </c>
      <c r="B17" s="232" t="str">
        <f t="shared" si="0"/>
        <v>Sat</v>
      </c>
      <c r="C17" s="152">
        <v>2156.77</v>
      </c>
      <c r="D17" s="58">
        <f>'Box Canon'!L18+'Box Canon'!L19</f>
        <v>1357.3200000000002</v>
      </c>
      <c r="E17" s="21"/>
      <c r="F17" s="21"/>
      <c r="G17" s="151">
        <v>10638.57</v>
      </c>
      <c r="H17" s="153">
        <v>0</v>
      </c>
      <c r="I17" s="151">
        <f>'Box Canon'!L20+'Box Canon'!L21</f>
        <v>1036.67</v>
      </c>
      <c r="J17" s="149"/>
      <c r="K17" s="149"/>
      <c r="L17" s="21"/>
      <c r="M17" s="28"/>
      <c r="N17" s="33"/>
      <c r="O17" s="29"/>
      <c r="P17" s="30"/>
      <c r="Q17" s="30"/>
      <c r="R17" s="32"/>
      <c r="S17" s="23"/>
      <c r="T17" s="18"/>
      <c r="U17" s="18"/>
      <c r="V17" s="18"/>
    </row>
    <row r="18" spans="1:22" x14ac:dyDescent="0.2">
      <c r="A18" s="216">
        <f t="shared" si="1"/>
        <v>44815</v>
      </c>
      <c r="B18" s="232" t="str">
        <f t="shared" si="0"/>
        <v>Sun</v>
      </c>
      <c r="C18" s="152">
        <v>1673.5</v>
      </c>
      <c r="D18" s="58">
        <f>'Box Canon'!M18+'Box Canon'!M19</f>
        <v>1038.6400000000001</v>
      </c>
      <c r="E18" s="21"/>
      <c r="F18" s="21"/>
      <c r="G18" s="151">
        <v>6827.4</v>
      </c>
      <c r="H18" s="153">
        <v>0</v>
      </c>
      <c r="I18" s="151">
        <f>'Box Canon'!M20+'Box Canon'!M21</f>
        <v>1156.1600000000001</v>
      </c>
      <c r="J18" s="149"/>
      <c r="K18" s="150"/>
      <c r="L18" s="21"/>
      <c r="M18" s="28"/>
      <c r="N18" s="33"/>
      <c r="O18" s="29"/>
      <c r="P18" s="30"/>
      <c r="Q18" s="30"/>
      <c r="R18" s="32"/>
      <c r="S18" s="23"/>
      <c r="T18" s="18"/>
      <c r="U18" s="18"/>
      <c r="V18" s="18"/>
    </row>
    <row r="19" spans="1:22" x14ac:dyDescent="0.2">
      <c r="A19" s="216">
        <f t="shared" si="1"/>
        <v>44816</v>
      </c>
      <c r="B19" s="232" t="str">
        <f t="shared" si="0"/>
        <v>Mon</v>
      </c>
      <c r="C19" s="152">
        <v>1247.4100000000001</v>
      </c>
      <c r="D19" s="58">
        <f>'Box Canon'!N18+'Box Canon'!N19</f>
        <v>982.44</v>
      </c>
      <c r="E19" s="21"/>
      <c r="F19" s="21"/>
      <c r="G19" s="151">
        <v>3712.73</v>
      </c>
      <c r="H19" s="153">
        <v>0</v>
      </c>
      <c r="I19" s="151">
        <f>'Box Canon'!N20+'Box Canon'!N21</f>
        <v>753.33999999999992</v>
      </c>
      <c r="J19" s="149"/>
      <c r="K19" s="149"/>
      <c r="L19" s="21"/>
      <c r="M19" s="28"/>
      <c r="N19" s="33"/>
      <c r="O19" s="38"/>
      <c r="P19" s="30"/>
      <c r="Q19" s="30"/>
      <c r="R19" s="32"/>
      <c r="S19" s="23"/>
      <c r="T19" s="18"/>
      <c r="U19" s="18"/>
      <c r="V19" s="18"/>
    </row>
    <row r="20" spans="1:22" x14ac:dyDescent="0.2">
      <c r="A20" s="216">
        <f t="shared" si="1"/>
        <v>44817</v>
      </c>
      <c r="B20" s="232" t="str">
        <f t="shared" si="0"/>
        <v>Tue</v>
      </c>
      <c r="C20" s="152">
        <v>1143.53</v>
      </c>
      <c r="D20" s="58">
        <f>'Box Canon'!O18+'Box Canon'!O19</f>
        <v>1034.29</v>
      </c>
      <c r="E20" s="21"/>
      <c r="F20" s="21"/>
      <c r="G20" s="151">
        <v>3469.87</v>
      </c>
      <c r="H20" s="153">
        <v>0</v>
      </c>
      <c r="I20" s="151">
        <f>'Box Canon'!O20+'Box Canon'!O21</f>
        <v>814.53</v>
      </c>
      <c r="J20" s="149"/>
      <c r="K20" s="149"/>
      <c r="L20" s="21"/>
      <c r="M20" s="28"/>
      <c r="N20" s="33"/>
      <c r="O20" s="39"/>
      <c r="P20" s="40"/>
      <c r="Q20" s="30"/>
      <c r="R20" s="32"/>
      <c r="S20" s="23"/>
      <c r="T20" s="18"/>
      <c r="U20" s="18"/>
      <c r="V20" s="18"/>
    </row>
    <row r="21" spans="1:22" x14ac:dyDescent="0.2">
      <c r="A21" s="216">
        <f t="shared" si="1"/>
        <v>44818</v>
      </c>
      <c r="B21" s="232" t="str">
        <f t="shared" si="0"/>
        <v>Wed</v>
      </c>
      <c r="C21" s="152">
        <v>1080.96</v>
      </c>
      <c r="D21" s="58">
        <f>'Box Canon'!P18+'Box Canon'!P19</f>
        <v>1165.76</v>
      </c>
      <c r="E21" s="41"/>
      <c r="F21" s="21"/>
      <c r="G21" s="151">
        <v>2669.81</v>
      </c>
      <c r="H21" s="153">
        <v>0</v>
      </c>
      <c r="I21" s="151">
        <f>'Box Canon'!P20+'Box Canon'!P21</f>
        <v>1003.64</v>
      </c>
      <c r="J21" s="149"/>
      <c r="K21" s="149"/>
      <c r="L21" s="21"/>
      <c r="M21" s="28"/>
      <c r="N21" s="33"/>
      <c r="O21" s="29"/>
      <c r="P21" s="30"/>
      <c r="Q21" s="30"/>
      <c r="R21" s="32"/>
      <c r="S21" s="23"/>
      <c r="T21" s="18"/>
      <c r="U21" s="18"/>
      <c r="V21" s="18"/>
    </row>
    <row r="22" spans="1:22" x14ac:dyDescent="0.2">
      <c r="A22" s="216">
        <f t="shared" si="1"/>
        <v>44819</v>
      </c>
      <c r="B22" s="232" t="str">
        <f t="shared" si="0"/>
        <v>Thu</v>
      </c>
      <c r="C22" s="152">
        <v>1313.98</v>
      </c>
      <c r="D22" s="58">
        <f>'Box Canon'!Q18+'Box Canon'!Q19</f>
        <v>1292.02</v>
      </c>
      <c r="E22" s="21"/>
      <c r="F22" s="21"/>
      <c r="G22" s="151">
        <v>5176.78</v>
      </c>
      <c r="H22" s="153">
        <v>290</v>
      </c>
      <c r="I22" s="151">
        <f>'Box Canon'!Q20+'Box Canon'!Q21</f>
        <v>880.18</v>
      </c>
      <c r="J22" s="149"/>
      <c r="K22" s="149"/>
      <c r="L22" s="21"/>
      <c r="M22" s="28"/>
      <c r="N22" s="23"/>
      <c r="O22" s="29"/>
      <c r="P22" s="30"/>
      <c r="Q22" s="30"/>
      <c r="R22" s="32"/>
      <c r="S22" s="23"/>
      <c r="T22" s="18"/>
      <c r="U22" s="18"/>
      <c r="V22" s="18"/>
    </row>
    <row r="23" spans="1:22" x14ac:dyDescent="0.2">
      <c r="A23" s="216">
        <f t="shared" si="1"/>
        <v>44820</v>
      </c>
      <c r="B23" s="232" t="str">
        <f t="shared" si="0"/>
        <v>Fri</v>
      </c>
      <c r="C23" s="152">
        <v>1445.63</v>
      </c>
      <c r="D23" s="58">
        <f>'Box Canon'!R18+'Box Canon'!R19</f>
        <v>1020.44</v>
      </c>
      <c r="E23" s="21"/>
      <c r="F23" s="21"/>
      <c r="G23" s="151">
        <v>4878.04</v>
      </c>
      <c r="H23" s="153">
        <v>0</v>
      </c>
      <c r="I23" s="151">
        <f>'Box Canon'!R20+'Box Canon'!R21</f>
        <v>1114.03</v>
      </c>
      <c r="J23" s="149"/>
      <c r="K23" s="149"/>
      <c r="L23" s="21"/>
      <c r="M23" s="28"/>
      <c r="N23" s="23"/>
      <c r="O23" s="29"/>
      <c r="P23" s="30"/>
      <c r="Q23" s="30"/>
      <c r="R23" s="32"/>
      <c r="S23" s="23"/>
      <c r="T23" s="18"/>
      <c r="U23" s="18"/>
      <c r="V23" s="18"/>
    </row>
    <row r="24" spans="1:22" x14ac:dyDescent="0.2">
      <c r="A24" s="216">
        <f t="shared" si="1"/>
        <v>44821</v>
      </c>
      <c r="B24" s="232" t="str">
        <f t="shared" si="0"/>
        <v>Sat</v>
      </c>
      <c r="C24" s="152">
        <v>2279.31</v>
      </c>
      <c r="D24" s="58">
        <f>'Box Canon'!S18+'Box Canon'!S19</f>
        <v>1524.05</v>
      </c>
      <c r="E24" s="21"/>
      <c r="F24" s="21"/>
      <c r="G24" s="151">
        <v>8848.3700000000008</v>
      </c>
      <c r="H24" s="153">
        <v>0</v>
      </c>
      <c r="I24" s="151">
        <f>'Box Canon'!S20+'Box Canon'!S21</f>
        <v>1261.9299999999998</v>
      </c>
      <c r="J24" s="149"/>
      <c r="K24" s="149"/>
      <c r="L24" s="21"/>
      <c r="M24" s="28"/>
      <c r="N24" s="23"/>
      <c r="O24" s="29"/>
      <c r="P24" s="30"/>
      <c r="Q24" s="30"/>
      <c r="R24" s="32"/>
      <c r="S24" s="23"/>
      <c r="T24" s="18"/>
      <c r="U24" s="18"/>
      <c r="V24" s="18"/>
    </row>
    <row r="25" spans="1:22" x14ac:dyDescent="0.2">
      <c r="A25" s="216">
        <f t="shared" si="1"/>
        <v>44822</v>
      </c>
      <c r="B25" s="232" t="str">
        <f t="shared" si="0"/>
        <v>Sun</v>
      </c>
      <c r="C25" s="152">
        <v>1775.83</v>
      </c>
      <c r="D25" s="58">
        <f>'Box Canon'!T18+'Box Canon'!T19</f>
        <v>1092.6300000000001</v>
      </c>
      <c r="E25" s="21"/>
      <c r="F25" s="21"/>
      <c r="G25" s="151">
        <v>6182.53</v>
      </c>
      <c r="H25" s="153">
        <v>0</v>
      </c>
      <c r="I25" s="151">
        <f>'Box Canon'!T20+'Box Canon'!T21</f>
        <v>1186.75</v>
      </c>
      <c r="J25" s="149"/>
      <c r="K25" s="149"/>
      <c r="L25" s="21"/>
      <c r="M25" s="28"/>
      <c r="N25" s="33"/>
      <c r="O25" s="29"/>
      <c r="P25" s="30"/>
      <c r="Q25" s="30"/>
      <c r="R25" s="32"/>
      <c r="S25" s="23"/>
      <c r="T25" s="18"/>
      <c r="U25" s="18"/>
      <c r="V25" s="18"/>
    </row>
    <row r="26" spans="1:22" x14ac:dyDescent="0.2">
      <c r="A26" s="216">
        <f t="shared" si="1"/>
        <v>44823</v>
      </c>
      <c r="B26" s="232" t="str">
        <f t="shared" si="0"/>
        <v>Mon</v>
      </c>
      <c r="C26" s="152">
        <v>1318.71</v>
      </c>
      <c r="D26" s="58">
        <f>'Box Canon'!U18+'Box Canon'!U19</f>
        <v>864.31999999999994</v>
      </c>
      <c r="E26" s="21"/>
      <c r="F26" s="21"/>
      <c r="G26" s="151">
        <v>4430.51</v>
      </c>
      <c r="H26" s="153">
        <v>0</v>
      </c>
      <c r="I26" s="151">
        <f>'Box Canon'!U20+'Box Canon'!U21</f>
        <v>1024.0899999999999</v>
      </c>
      <c r="J26" s="149"/>
      <c r="K26" s="149"/>
      <c r="L26" s="21"/>
      <c r="M26" s="28"/>
      <c r="N26" s="23"/>
      <c r="O26" s="29"/>
      <c r="P26" s="34"/>
      <c r="Q26" s="30"/>
      <c r="R26" s="32"/>
      <c r="S26" s="23"/>
      <c r="T26" s="18"/>
      <c r="U26" s="18"/>
      <c r="V26" s="18"/>
    </row>
    <row r="27" spans="1:22" x14ac:dyDescent="0.2">
      <c r="A27" s="216">
        <f t="shared" si="1"/>
        <v>44824</v>
      </c>
      <c r="B27" s="232" t="str">
        <f t="shared" si="0"/>
        <v>Tue</v>
      </c>
      <c r="C27" s="152">
        <v>788.7</v>
      </c>
      <c r="D27" s="58">
        <f>'Box Canon'!V18+'Box Canon'!V19</f>
        <v>1103.0999999999999</v>
      </c>
      <c r="E27" s="21"/>
      <c r="F27" s="21"/>
      <c r="G27" s="151">
        <v>3530.84</v>
      </c>
      <c r="H27" s="153">
        <v>0</v>
      </c>
      <c r="I27" s="151">
        <f>'Box Canon'!V20+'Box Canon'!V21</f>
        <v>834.76</v>
      </c>
      <c r="J27" s="149"/>
      <c r="K27" s="149"/>
      <c r="L27" s="21"/>
      <c r="M27" s="28"/>
      <c r="N27" s="23"/>
      <c r="O27" s="29"/>
      <c r="P27" s="30"/>
      <c r="Q27" s="30"/>
      <c r="R27" s="32"/>
      <c r="S27" s="23"/>
      <c r="T27" s="18"/>
      <c r="U27" s="18"/>
      <c r="V27" s="18"/>
    </row>
    <row r="28" spans="1:22" x14ac:dyDescent="0.2">
      <c r="A28" s="216">
        <f t="shared" si="1"/>
        <v>44825</v>
      </c>
      <c r="B28" s="232" t="str">
        <f t="shared" si="0"/>
        <v>Wed</v>
      </c>
      <c r="C28" s="152">
        <v>719.62</v>
      </c>
      <c r="D28" s="58">
        <f>'Box Canon'!W18+'Box Canon'!W19</f>
        <v>901.78</v>
      </c>
      <c r="E28" s="21"/>
      <c r="F28" s="21"/>
      <c r="G28" s="151">
        <v>2847.54</v>
      </c>
      <c r="H28" s="153">
        <v>0</v>
      </c>
      <c r="I28" s="151">
        <f>'Box Canon'!W20+'Box Canon'!W21</f>
        <v>470.96999999999997</v>
      </c>
      <c r="J28" s="149"/>
      <c r="K28" s="149"/>
      <c r="L28" s="21"/>
      <c r="M28" s="28"/>
      <c r="N28" s="23"/>
      <c r="O28" s="29"/>
      <c r="P28" s="30"/>
      <c r="Q28" s="30"/>
      <c r="R28" s="32"/>
      <c r="S28" s="23"/>
      <c r="T28" s="18"/>
      <c r="U28" s="18"/>
      <c r="V28" s="18"/>
    </row>
    <row r="29" spans="1:22" x14ac:dyDescent="0.2">
      <c r="A29" s="216">
        <f t="shared" si="1"/>
        <v>44826</v>
      </c>
      <c r="B29" s="232" t="str">
        <f t="shared" si="0"/>
        <v>Thu</v>
      </c>
      <c r="C29" s="152">
        <v>618.66</v>
      </c>
      <c r="D29" s="58">
        <f>'Box Canon'!X18+'Box Canon'!X19</f>
        <v>757.62</v>
      </c>
      <c r="E29" s="21"/>
      <c r="F29" s="21"/>
      <c r="G29" s="151">
        <v>3360.78</v>
      </c>
      <c r="H29" s="153">
        <v>0</v>
      </c>
      <c r="I29" s="151">
        <f>'Box Canon'!X20+'Box Canon'!X21</f>
        <v>706.55</v>
      </c>
      <c r="J29" s="149"/>
      <c r="K29" s="149"/>
      <c r="L29" s="21"/>
      <c r="M29" s="28"/>
      <c r="N29" s="23"/>
      <c r="O29" s="29"/>
      <c r="P29" s="30"/>
      <c r="Q29" s="30"/>
      <c r="R29" s="32"/>
      <c r="S29" s="23"/>
      <c r="T29" s="18"/>
      <c r="U29" s="18"/>
      <c r="V29" s="18"/>
    </row>
    <row r="30" spans="1:22" x14ac:dyDescent="0.2">
      <c r="A30" s="216">
        <f t="shared" si="1"/>
        <v>44827</v>
      </c>
      <c r="B30" s="232" t="str">
        <f t="shared" si="0"/>
        <v>Fri</v>
      </c>
      <c r="C30" s="152">
        <v>1848.09</v>
      </c>
      <c r="D30" s="58">
        <f>'Box Canon'!Y18+'Box Canon'!Y19</f>
        <v>903.19</v>
      </c>
      <c r="E30" s="21"/>
      <c r="F30" s="21"/>
      <c r="G30" s="151">
        <v>6594.74</v>
      </c>
      <c r="H30" s="153">
        <v>0</v>
      </c>
      <c r="I30" s="151">
        <f>'Box Canon'!Y20+'Box Canon'!Y21</f>
        <v>921.91000000000008</v>
      </c>
      <c r="J30" s="149"/>
      <c r="K30" s="149"/>
      <c r="L30" s="21"/>
      <c r="M30" s="28"/>
      <c r="N30" s="23"/>
      <c r="O30" s="29"/>
      <c r="P30" s="30"/>
      <c r="Q30" s="30"/>
      <c r="R30" s="32"/>
      <c r="S30" s="23"/>
      <c r="T30" s="18"/>
      <c r="U30" s="18"/>
      <c r="V30" s="18"/>
    </row>
    <row r="31" spans="1:22" x14ac:dyDescent="0.2">
      <c r="A31" s="216">
        <f t="shared" si="1"/>
        <v>44828</v>
      </c>
      <c r="B31" s="232" t="str">
        <f t="shared" si="0"/>
        <v>Sat</v>
      </c>
      <c r="C31" s="152">
        <v>2296.64</v>
      </c>
      <c r="D31" s="58">
        <f>'Box Canon'!Z18+'Box Canon'!Z19</f>
        <v>1283.33</v>
      </c>
      <c r="E31" s="21"/>
      <c r="F31" s="21"/>
      <c r="G31" s="151">
        <v>11011.6</v>
      </c>
      <c r="H31" s="153">
        <v>0</v>
      </c>
      <c r="I31" s="151">
        <f>'Box Canon'!Z20+'Box Canon'!Z21</f>
        <v>1807.69</v>
      </c>
      <c r="J31" s="149"/>
      <c r="K31" s="149"/>
      <c r="L31" s="21"/>
      <c r="M31" s="28"/>
      <c r="N31" s="23"/>
      <c r="O31" s="29"/>
      <c r="P31" s="30"/>
      <c r="Q31" s="30"/>
      <c r="R31" s="32"/>
      <c r="S31" s="23"/>
      <c r="T31" s="18"/>
      <c r="U31" s="18"/>
      <c r="V31" s="18"/>
    </row>
    <row r="32" spans="1:22" x14ac:dyDescent="0.2">
      <c r="A32" s="216">
        <f t="shared" si="1"/>
        <v>44829</v>
      </c>
      <c r="B32" s="232" t="str">
        <f t="shared" si="0"/>
        <v>Sun</v>
      </c>
      <c r="C32" s="152">
        <v>2127.7600000000002</v>
      </c>
      <c r="D32" s="58">
        <f>'Box Canon'!AA18+'Box Canon'!AA19</f>
        <v>1029.94</v>
      </c>
      <c r="E32" s="21"/>
      <c r="F32" s="21"/>
      <c r="G32" s="151">
        <v>7897.68</v>
      </c>
      <c r="H32" s="153">
        <v>0</v>
      </c>
      <c r="I32" s="151">
        <f>'Box Canon'!AA20+'Box Canon'!AA21</f>
        <v>1083.92</v>
      </c>
      <c r="J32" s="149"/>
      <c r="K32" s="149"/>
      <c r="L32" s="21"/>
      <c r="M32" s="28"/>
      <c r="N32" s="23"/>
      <c r="O32" s="29"/>
      <c r="P32" s="30"/>
      <c r="Q32" s="30"/>
      <c r="R32" s="32"/>
      <c r="S32" s="23"/>
      <c r="T32" s="18"/>
      <c r="U32" s="18"/>
      <c r="V32" s="18"/>
    </row>
    <row r="33" spans="1:22" x14ac:dyDescent="0.2">
      <c r="A33" s="216">
        <f t="shared" si="1"/>
        <v>44830</v>
      </c>
      <c r="B33" s="232" t="str">
        <f t="shared" si="0"/>
        <v>Mon</v>
      </c>
      <c r="C33" s="152">
        <v>1200.3</v>
      </c>
      <c r="D33" s="58">
        <f>'Box Canon'!AB18+'Box Canon'!AB19</f>
        <v>1144.5</v>
      </c>
      <c r="E33" s="21"/>
      <c r="F33" s="21"/>
      <c r="G33" s="151">
        <v>4530.8500000000004</v>
      </c>
      <c r="H33" s="153">
        <v>0</v>
      </c>
      <c r="I33" s="151">
        <f>'Box Canon'!AB20+'Box Canon'!AB21</f>
        <v>1167.8800000000001</v>
      </c>
      <c r="J33" s="149"/>
      <c r="K33" s="149"/>
      <c r="L33" s="21"/>
      <c r="M33" s="28"/>
      <c r="N33" s="23"/>
      <c r="O33" s="29"/>
      <c r="P33" s="30"/>
      <c r="Q33" s="30"/>
      <c r="R33" s="32"/>
      <c r="S33" s="23"/>
      <c r="T33" s="18"/>
      <c r="U33" s="18"/>
      <c r="V33" s="18"/>
    </row>
    <row r="34" spans="1:22" x14ac:dyDescent="0.2">
      <c r="A34" s="216">
        <f t="shared" si="1"/>
        <v>44831</v>
      </c>
      <c r="B34" s="232" t="str">
        <f t="shared" si="0"/>
        <v>Tue</v>
      </c>
      <c r="C34" s="152">
        <v>1382.91</v>
      </c>
      <c r="D34" s="58">
        <f>'Box Canon'!AC18+'Box Canon'!AC19</f>
        <v>1119.75</v>
      </c>
      <c r="E34" s="21"/>
      <c r="F34" s="21"/>
      <c r="G34" s="151">
        <v>3604.66</v>
      </c>
      <c r="H34" s="153">
        <v>0</v>
      </c>
      <c r="I34" s="151">
        <f>'Box Canon'!AC20+'Box Canon'!AC21</f>
        <v>851.21</v>
      </c>
      <c r="J34" s="149"/>
      <c r="K34" s="149"/>
      <c r="L34" s="21"/>
      <c r="M34" s="28"/>
      <c r="N34" s="33"/>
      <c r="O34" s="29"/>
      <c r="P34" s="30"/>
      <c r="Q34" s="30"/>
      <c r="R34" s="32"/>
      <c r="S34" s="36"/>
      <c r="T34" s="18"/>
      <c r="U34" s="18"/>
      <c r="V34" s="18"/>
    </row>
    <row r="35" spans="1:22" x14ac:dyDescent="0.2">
      <c r="A35" s="216">
        <f t="shared" si="1"/>
        <v>44832</v>
      </c>
      <c r="B35" s="232" t="str">
        <f t="shared" si="0"/>
        <v>Wed</v>
      </c>
      <c r="C35" s="152">
        <v>1128.73</v>
      </c>
      <c r="D35" s="58">
        <f>'Box Canon'!AD18+'Box Canon'!AD19</f>
        <v>1084.46</v>
      </c>
      <c r="E35" s="21"/>
      <c r="F35" s="21"/>
      <c r="G35" s="151">
        <v>4266.51</v>
      </c>
      <c r="H35" s="153">
        <v>0</v>
      </c>
      <c r="I35" s="151">
        <f>'Box Canon'!AD20+'Box Canon'!AD21</f>
        <v>732.48</v>
      </c>
      <c r="J35" s="149"/>
      <c r="K35" s="149"/>
      <c r="L35" s="21"/>
      <c r="M35" s="28"/>
      <c r="N35" s="23"/>
      <c r="O35" s="29"/>
      <c r="P35" s="30"/>
      <c r="Q35" s="30"/>
      <c r="R35" s="32"/>
      <c r="S35" s="23"/>
      <c r="T35" s="18"/>
      <c r="U35" s="18"/>
      <c r="V35" s="18"/>
    </row>
    <row r="36" spans="1:22" x14ac:dyDescent="0.2">
      <c r="A36" s="216">
        <f t="shared" si="1"/>
        <v>44833</v>
      </c>
      <c r="B36" s="232" t="str">
        <f t="shared" si="0"/>
        <v>Thu</v>
      </c>
      <c r="C36" s="152">
        <v>846.96</v>
      </c>
      <c r="D36" s="58">
        <f>'Box Canon'!AE18+'Box Canon'!AE19</f>
        <v>956.06999999999994</v>
      </c>
      <c r="E36" s="42"/>
      <c r="F36" s="21"/>
      <c r="G36" s="151">
        <v>4563.8500000000004</v>
      </c>
      <c r="H36" s="153">
        <v>0</v>
      </c>
      <c r="I36" s="151">
        <f>'Box Canon'!AE20+'Box Canon'!AE21</f>
        <v>855.76</v>
      </c>
      <c r="J36" s="149"/>
      <c r="K36" s="149"/>
      <c r="L36" s="21"/>
      <c r="M36" s="28"/>
      <c r="N36" s="23"/>
      <c r="O36" s="29"/>
      <c r="P36" s="30"/>
      <c r="Q36" s="30"/>
      <c r="R36" s="32"/>
      <c r="S36" s="23"/>
      <c r="T36" s="18"/>
      <c r="U36" s="18"/>
      <c r="V36" s="18"/>
    </row>
    <row r="37" spans="1:22" x14ac:dyDescent="0.2">
      <c r="A37" s="216">
        <f t="shared" si="1"/>
        <v>44834</v>
      </c>
      <c r="B37" s="232" t="str">
        <f t="shared" si="0"/>
        <v>Fri</v>
      </c>
      <c r="C37" s="152">
        <v>827.28</v>
      </c>
      <c r="D37" s="58">
        <f>'Box Canon'!AF18+'Box Canon'!AF19</f>
        <v>1052.4000000000001</v>
      </c>
      <c r="E37" s="21"/>
      <c r="F37" s="21"/>
      <c r="G37" s="151">
        <v>5502.56</v>
      </c>
      <c r="H37" s="153">
        <v>0</v>
      </c>
      <c r="I37" s="151">
        <f>'Box Canon'!AF20+'Box Canon'!AF21</f>
        <v>848.63</v>
      </c>
      <c r="J37" s="149"/>
      <c r="K37" s="149"/>
      <c r="L37" s="21"/>
      <c r="M37" s="28"/>
      <c r="N37" s="23"/>
      <c r="O37" s="29"/>
      <c r="P37" s="30"/>
      <c r="Q37" s="30"/>
      <c r="R37" s="32"/>
      <c r="S37" s="23"/>
      <c r="T37" s="18"/>
      <c r="U37" s="18"/>
      <c r="V37" s="18"/>
    </row>
    <row r="38" spans="1:22" x14ac:dyDescent="0.2">
      <c r="A38" s="216">
        <f t="shared" si="1"/>
        <v>44835</v>
      </c>
      <c r="B38" s="232" t="str">
        <f t="shared" si="0"/>
        <v>Sat</v>
      </c>
      <c r="C38" s="152">
        <v>0</v>
      </c>
      <c r="D38" s="58">
        <f>'Box Canon'!AG18+'Box Canon'!AG19</f>
        <v>0</v>
      </c>
      <c r="E38" s="21"/>
      <c r="F38" s="21"/>
      <c r="G38" s="151">
        <v>0</v>
      </c>
      <c r="H38" s="153">
        <v>0</v>
      </c>
      <c r="I38" s="151">
        <f>'Box Canon'!AG20+'Box Canon'!AG21</f>
        <v>0</v>
      </c>
      <c r="J38" s="149"/>
      <c r="K38" s="149"/>
      <c r="L38" s="21"/>
      <c r="M38" s="28"/>
      <c r="N38" s="23"/>
      <c r="O38" s="29"/>
      <c r="P38" s="30"/>
      <c r="Q38" s="30"/>
      <c r="R38" s="32"/>
      <c r="S38" s="23"/>
      <c r="T38" s="18"/>
      <c r="U38" s="18"/>
      <c r="V38" s="18"/>
    </row>
    <row r="39" spans="1:22" x14ac:dyDescent="0.2">
      <c r="A39" s="27" t="s">
        <v>20</v>
      </c>
      <c r="B39" s="233"/>
      <c r="C39" s="43"/>
      <c r="D39" s="44"/>
      <c r="E39" s="45"/>
      <c r="F39" s="45"/>
      <c r="G39" s="44"/>
      <c r="H39" s="44"/>
      <c r="I39" s="44"/>
      <c r="J39" s="44"/>
      <c r="K39" s="44"/>
      <c r="L39" s="45"/>
      <c r="M39" s="22"/>
      <c r="N39" s="23"/>
      <c r="O39" s="46"/>
      <c r="P39" s="47"/>
      <c r="Q39" s="47"/>
      <c r="R39" s="48"/>
      <c r="S39" s="23"/>
      <c r="T39" s="18"/>
      <c r="U39" s="18"/>
      <c r="V39" s="18"/>
    </row>
    <row r="40" spans="1:22" ht="13.5" thickBot="1" x14ac:dyDescent="0.25">
      <c r="A40" s="49"/>
      <c r="B40" s="234"/>
      <c r="C40" s="171">
        <f>SUM(C8:C39)</f>
        <v>45170.200000000004</v>
      </c>
      <c r="D40" s="171">
        <f t="shared" ref="D40:M40" si="2">SUM(D8:D39)</f>
        <v>32549.209999999988</v>
      </c>
      <c r="E40" s="172">
        <f t="shared" si="2"/>
        <v>0</v>
      </c>
      <c r="F40" s="172">
        <f t="shared" si="2"/>
        <v>0</v>
      </c>
      <c r="G40" s="171">
        <f>SUM(G8:G38)</f>
        <v>192449.69999999998</v>
      </c>
      <c r="H40" s="171">
        <f>SUM(H8:H38)</f>
        <v>560</v>
      </c>
      <c r="I40" s="171">
        <f>SUM(I8:I38)</f>
        <v>32319.14</v>
      </c>
      <c r="J40" s="171">
        <f t="shared" si="2"/>
        <v>0</v>
      </c>
      <c r="K40" s="171">
        <f t="shared" si="2"/>
        <v>0</v>
      </c>
      <c r="L40" s="172">
        <f t="shared" si="2"/>
        <v>0</v>
      </c>
      <c r="M40" s="172">
        <f t="shared" si="2"/>
        <v>0</v>
      </c>
      <c r="N40" s="173"/>
      <c r="O40" s="174">
        <f>SUM(O8:O39)</f>
        <v>0</v>
      </c>
      <c r="P40" s="174">
        <f>SUM(P8:P39)</f>
        <v>0</v>
      </c>
      <c r="Q40" s="174">
        <f>SUM(Q8:Q39)</f>
        <v>0</v>
      </c>
      <c r="R40" s="174">
        <f>SUM(R8:R39)</f>
        <v>0</v>
      </c>
      <c r="S40" s="175"/>
      <c r="T40" s="176">
        <f>SUM(C40:R40)-M40-P40+T7</f>
        <v>303048.25</v>
      </c>
      <c r="U40" s="18"/>
      <c r="V40" s="18"/>
    </row>
    <row r="41" spans="1:22" ht="13.5" thickTop="1" x14ac:dyDescent="0.2">
      <c r="B41" s="234"/>
      <c r="N41" s="23"/>
      <c r="O41" s="18"/>
      <c r="P41" s="18"/>
      <c r="Q41" s="18"/>
      <c r="R41" s="18"/>
      <c r="S41" s="23"/>
      <c r="T41" s="18"/>
      <c r="U41" s="18"/>
      <c r="V41" s="18"/>
    </row>
    <row r="42" spans="1:22" x14ac:dyDescent="0.2">
      <c r="A42" s="49"/>
      <c r="B42" s="234"/>
      <c r="M42" s="177">
        <f>C40+D40+J40+K40+M40</f>
        <v>77719.409999999989</v>
      </c>
      <c r="N42" s="173"/>
      <c r="O42" s="178">
        <f>+O40-P40</f>
        <v>0</v>
      </c>
      <c r="P42" s="177"/>
      <c r="Q42" s="178">
        <f>+P40+Q40</f>
        <v>0</v>
      </c>
      <c r="R42" s="177">
        <f>O40+Q40+R40</f>
        <v>0</v>
      </c>
      <c r="S42" s="23"/>
      <c r="T42" s="18"/>
      <c r="U42" s="18"/>
      <c r="V42" s="18"/>
    </row>
    <row r="43" spans="1:22" x14ac:dyDescent="0.2">
      <c r="A43" s="49"/>
      <c r="B43" s="234"/>
      <c r="E43" s="3" t="s">
        <v>21</v>
      </c>
      <c r="N43" s="23"/>
      <c r="O43" s="50" t="s">
        <v>22</v>
      </c>
      <c r="P43" s="18"/>
      <c r="Q43" s="51" t="s">
        <v>23</v>
      </c>
      <c r="R43" s="18"/>
      <c r="S43" s="23"/>
      <c r="T43" s="18"/>
      <c r="U43" s="18"/>
      <c r="V43" s="18"/>
    </row>
    <row r="44" spans="1:22" ht="14.25" x14ac:dyDescent="0.2">
      <c r="B44" s="234"/>
      <c r="E44" s="3" t="s">
        <v>24</v>
      </c>
      <c r="N44" s="23"/>
      <c r="O44" s="52"/>
      <c r="P44" s="18"/>
      <c r="Q44" s="18"/>
      <c r="R44" s="18"/>
      <c r="S44" s="23"/>
      <c r="T44" s="18"/>
      <c r="U44" s="18"/>
      <c r="V44" s="18"/>
    </row>
    <row r="45" spans="1:22" x14ac:dyDescent="0.2">
      <c r="B45" s="234"/>
      <c r="E45" s="3" t="s">
        <v>25</v>
      </c>
      <c r="J45" s="53"/>
      <c r="N45" s="23"/>
      <c r="O45" s="54"/>
      <c r="P45" s="18"/>
      <c r="Q45" s="18"/>
      <c r="U45" s="18"/>
      <c r="V45" s="18"/>
    </row>
    <row r="46" spans="1:22" x14ac:dyDescent="0.2">
      <c r="A46" s="49"/>
      <c r="B46" s="234"/>
      <c r="C46" s="55"/>
      <c r="E46" s="3" t="s">
        <v>26</v>
      </c>
      <c r="N46" s="23"/>
      <c r="O46" s="18"/>
      <c r="P46" s="18"/>
      <c r="Q46" s="18"/>
      <c r="U46" s="18"/>
      <c r="V46" s="18"/>
    </row>
    <row r="47" spans="1:22" x14ac:dyDescent="0.2">
      <c r="A47" s="49"/>
      <c r="B47" s="234"/>
      <c r="C47" s="55"/>
      <c r="E47" s="3" t="s">
        <v>27</v>
      </c>
      <c r="N47" s="23"/>
      <c r="O47" s="18"/>
      <c r="P47" s="18"/>
      <c r="Q47" s="18"/>
      <c r="U47" s="18"/>
      <c r="V47" s="18"/>
    </row>
    <row r="48" spans="1:22" x14ac:dyDescent="0.2">
      <c r="A48" s="49"/>
      <c r="B48" s="234"/>
      <c r="C48" s="55"/>
      <c r="E48" s="3" t="s">
        <v>28</v>
      </c>
      <c r="N48" s="23"/>
      <c r="O48" s="18"/>
      <c r="P48" s="18"/>
      <c r="Q48" s="18"/>
      <c r="U48" s="18"/>
      <c r="V48" s="18"/>
    </row>
    <row r="49" spans="1:22" x14ac:dyDescent="0.2">
      <c r="A49" s="49"/>
      <c r="B49" s="234"/>
      <c r="C49" s="55"/>
      <c r="E49" s="56" t="s">
        <v>29</v>
      </c>
      <c r="N49" s="23"/>
      <c r="O49" s="18"/>
      <c r="P49" s="18"/>
      <c r="Q49" s="18"/>
      <c r="U49" s="18"/>
      <c r="V49" s="18"/>
    </row>
    <row r="50" spans="1:22" x14ac:dyDescent="0.2">
      <c r="A50" s="49"/>
      <c r="B50" s="234"/>
      <c r="C50" s="55"/>
      <c r="J50" s="53"/>
      <c r="N50" s="23"/>
      <c r="O50" s="18"/>
      <c r="P50" s="18"/>
      <c r="Q50" s="18"/>
      <c r="U50" s="18"/>
      <c r="V50" s="18"/>
    </row>
    <row r="51" spans="1:22" x14ac:dyDescent="0.2">
      <c r="A51" s="49"/>
      <c r="B51" s="234"/>
      <c r="C51" s="55"/>
      <c r="N51" s="23"/>
      <c r="O51" s="18"/>
      <c r="P51" s="18"/>
      <c r="Q51" s="18"/>
      <c r="U51" s="18"/>
      <c r="V51" s="18"/>
    </row>
    <row r="52" spans="1:22" x14ac:dyDescent="0.2">
      <c r="B52" s="234"/>
      <c r="C52" s="55"/>
      <c r="J52" s="57"/>
      <c r="N52" s="23"/>
      <c r="O52" s="18"/>
      <c r="P52" s="18"/>
      <c r="Q52" s="18"/>
      <c r="U52" s="18"/>
      <c r="V52" s="18"/>
    </row>
    <row r="53" spans="1:22" x14ac:dyDescent="0.2">
      <c r="B53" s="234"/>
      <c r="C53" s="55"/>
      <c r="N53" s="23"/>
      <c r="O53" s="18"/>
      <c r="P53" s="18"/>
      <c r="Q53" s="18"/>
      <c r="U53" s="18"/>
      <c r="V53" s="18"/>
    </row>
    <row r="54" spans="1:22" x14ac:dyDescent="0.2">
      <c r="B54" s="234"/>
      <c r="C54" s="55"/>
      <c r="N54" s="23"/>
      <c r="O54" s="18"/>
      <c r="P54" s="18"/>
      <c r="Q54" s="18"/>
      <c r="U54" s="18"/>
      <c r="V54" s="18"/>
    </row>
    <row r="55" spans="1:22" x14ac:dyDescent="0.2">
      <c r="B55" s="234"/>
      <c r="N55" s="23"/>
      <c r="O55" s="18"/>
      <c r="P55" s="18"/>
      <c r="Q55" s="18"/>
      <c r="U55" s="18"/>
      <c r="V55" s="18"/>
    </row>
    <row r="56" spans="1:22" x14ac:dyDescent="0.2">
      <c r="B56" s="234"/>
      <c r="N56" s="23"/>
      <c r="O56" s="18"/>
      <c r="P56" s="18"/>
      <c r="Q56" s="18"/>
      <c r="R56" s="18"/>
      <c r="S56" s="23"/>
      <c r="T56" s="18"/>
      <c r="U56" s="18"/>
      <c r="V56" s="18"/>
    </row>
    <row r="57" spans="1:22" x14ac:dyDescent="0.2">
      <c r="B57" s="234"/>
      <c r="N57" s="23"/>
      <c r="O57" s="18"/>
      <c r="P57" s="18"/>
      <c r="Q57" s="18"/>
      <c r="R57" s="18"/>
      <c r="S57" s="23"/>
      <c r="T57" s="18"/>
      <c r="U57" s="18"/>
      <c r="V57" s="18"/>
    </row>
    <row r="58" spans="1:22" x14ac:dyDescent="0.2">
      <c r="B58" s="234"/>
      <c r="N58" s="23"/>
      <c r="O58" s="18"/>
      <c r="P58" s="18"/>
      <c r="Q58" s="18"/>
      <c r="R58" s="18"/>
      <c r="S58" s="23"/>
      <c r="T58" s="18"/>
      <c r="U58" s="18"/>
      <c r="V58" s="18"/>
    </row>
    <row r="59" spans="1:22" x14ac:dyDescent="0.2">
      <c r="B59" s="234"/>
      <c r="N59" s="23"/>
      <c r="O59" s="18"/>
      <c r="P59" s="18"/>
      <c r="Q59" s="18"/>
      <c r="R59" s="18"/>
      <c r="S59" s="23"/>
      <c r="T59" s="18"/>
      <c r="U59" s="18"/>
      <c r="V59" s="18"/>
    </row>
    <row r="60" spans="1:22" x14ac:dyDescent="0.2">
      <c r="B60" s="234"/>
      <c r="N60" s="23"/>
      <c r="O60" s="18"/>
      <c r="P60" s="18"/>
      <c r="Q60" s="18"/>
      <c r="R60" s="18"/>
      <c r="S60" s="23"/>
      <c r="T60" s="18"/>
      <c r="U60" s="18"/>
      <c r="V60" s="18"/>
    </row>
    <row r="61" spans="1:22" x14ac:dyDescent="0.2">
      <c r="B61" s="234"/>
      <c r="N61" s="23"/>
      <c r="O61" s="18"/>
      <c r="P61" s="18"/>
      <c r="Q61" s="18"/>
      <c r="R61" s="18"/>
      <c r="S61" s="23"/>
      <c r="T61" s="18"/>
      <c r="U61" s="18"/>
      <c r="V61" s="18"/>
    </row>
    <row r="62" spans="1:22" x14ac:dyDescent="0.2">
      <c r="B62" s="234"/>
      <c r="N62" s="23"/>
      <c r="O62" s="18"/>
      <c r="P62" s="18"/>
      <c r="Q62" s="18"/>
      <c r="R62" s="18"/>
      <c r="S62" s="23"/>
      <c r="T62" s="18"/>
      <c r="U62" s="18"/>
      <c r="V62" s="18"/>
    </row>
    <row r="63" spans="1:22" x14ac:dyDescent="0.2">
      <c r="B63" s="234"/>
      <c r="N63" s="23"/>
      <c r="O63" s="18"/>
      <c r="P63" s="18"/>
      <c r="Q63" s="18"/>
      <c r="R63" s="18"/>
      <c r="S63" s="23"/>
      <c r="T63" s="18"/>
      <c r="U63" s="18"/>
      <c r="V63" s="18"/>
    </row>
    <row r="64" spans="1:22" x14ac:dyDescent="0.2">
      <c r="B64" s="234"/>
      <c r="N64" s="23"/>
      <c r="O64" s="18"/>
      <c r="P64" s="18"/>
      <c r="Q64" s="18"/>
      <c r="R64" s="18"/>
      <c r="S64" s="23"/>
      <c r="T64" s="18"/>
      <c r="U64" s="18"/>
      <c r="V64" s="18"/>
    </row>
    <row r="65" spans="2:22" x14ac:dyDescent="0.2">
      <c r="B65" s="234"/>
      <c r="N65" s="23"/>
      <c r="O65" s="18"/>
      <c r="P65" s="18"/>
      <c r="Q65" s="18"/>
      <c r="R65" s="18"/>
      <c r="S65" s="23"/>
      <c r="T65" s="18"/>
      <c r="U65" s="18"/>
      <c r="V65" s="18"/>
    </row>
    <row r="66" spans="2:22" x14ac:dyDescent="0.2">
      <c r="B66" s="234"/>
      <c r="N66" s="23"/>
      <c r="O66" s="18"/>
      <c r="P66" s="18"/>
      <c r="Q66" s="18"/>
      <c r="R66" s="18"/>
      <c r="S66" s="23"/>
      <c r="T66" s="18"/>
      <c r="U66" s="18"/>
      <c r="V66" s="18"/>
    </row>
    <row r="67" spans="2:22" x14ac:dyDescent="0.2">
      <c r="B67" s="234"/>
      <c r="N67" s="23"/>
      <c r="O67" s="18"/>
      <c r="P67" s="18"/>
      <c r="Q67" s="18"/>
      <c r="R67" s="18"/>
      <c r="S67" s="23"/>
      <c r="T67" s="18"/>
      <c r="U67" s="18"/>
      <c r="V67" s="18"/>
    </row>
    <row r="68" spans="2:22" x14ac:dyDescent="0.2">
      <c r="B68" s="234"/>
      <c r="N68" s="23"/>
      <c r="O68" s="18"/>
      <c r="P68" s="18"/>
      <c r="Q68" s="18"/>
      <c r="R68" s="18"/>
      <c r="S68" s="23"/>
      <c r="T68" s="18"/>
      <c r="U68" s="18"/>
      <c r="V68" s="18"/>
    </row>
    <row r="69" spans="2:22" x14ac:dyDescent="0.2">
      <c r="B69" s="234"/>
      <c r="N69" s="23"/>
      <c r="O69" s="18"/>
      <c r="P69" s="18"/>
      <c r="Q69" s="18"/>
      <c r="R69" s="18"/>
      <c r="S69" s="23"/>
      <c r="T69" s="18"/>
      <c r="U69" s="18"/>
      <c r="V69" s="18"/>
    </row>
    <row r="70" spans="2:22" x14ac:dyDescent="0.2">
      <c r="B70" s="234"/>
      <c r="N70" s="23"/>
      <c r="O70" s="18"/>
      <c r="P70" s="18"/>
      <c r="Q70" s="18"/>
      <c r="R70" s="18"/>
      <c r="S70" s="23"/>
      <c r="T70" s="18"/>
      <c r="U70" s="18"/>
      <c r="V70" s="18"/>
    </row>
    <row r="71" spans="2:22" x14ac:dyDescent="0.2">
      <c r="B71" s="234"/>
      <c r="N71" s="23"/>
      <c r="O71" s="18"/>
      <c r="P71" s="18"/>
      <c r="Q71" s="18"/>
      <c r="R71" s="18"/>
      <c r="S71" s="23"/>
      <c r="T71" s="18"/>
      <c r="U71" s="18"/>
      <c r="V71" s="18"/>
    </row>
    <row r="72" spans="2:22" x14ac:dyDescent="0.2">
      <c r="B72" s="234"/>
      <c r="N72" s="23"/>
      <c r="O72" s="18"/>
      <c r="P72" s="18"/>
      <c r="Q72" s="18"/>
      <c r="R72" s="18"/>
      <c r="S72" s="23"/>
      <c r="T72" s="18"/>
      <c r="U72" s="18"/>
      <c r="V72" s="18"/>
    </row>
    <row r="73" spans="2:22" x14ac:dyDescent="0.2">
      <c r="B73" s="234"/>
      <c r="N73" s="23"/>
      <c r="O73" s="18"/>
      <c r="P73" s="18"/>
      <c r="Q73" s="18"/>
      <c r="R73" s="18"/>
      <c r="S73" s="23"/>
      <c r="T73" s="18"/>
      <c r="U73" s="18"/>
      <c r="V73" s="18"/>
    </row>
    <row r="74" spans="2:22" x14ac:dyDescent="0.2">
      <c r="B74" s="234"/>
      <c r="N74" s="23"/>
      <c r="O74" s="18"/>
      <c r="P74" s="18"/>
      <c r="Q74" s="18"/>
      <c r="R74" s="18"/>
      <c r="S74" s="23"/>
      <c r="T74" s="18"/>
      <c r="U74" s="18"/>
      <c r="V74" s="18"/>
    </row>
    <row r="75" spans="2:22" x14ac:dyDescent="0.2">
      <c r="B75" s="234"/>
      <c r="N75" s="23"/>
      <c r="O75" s="18"/>
      <c r="P75" s="18"/>
      <c r="Q75" s="18"/>
      <c r="R75" s="18"/>
      <c r="S75" s="23"/>
      <c r="T75" s="18"/>
      <c r="U75" s="18"/>
      <c r="V75" s="18"/>
    </row>
    <row r="76" spans="2:22" x14ac:dyDescent="0.2">
      <c r="B76" s="234"/>
      <c r="N76" s="23"/>
      <c r="O76" s="18"/>
      <c r="P76" s="18"/>
      <c r="Q76" s="18"/>
      <c r="R76" s="18"/>
      <c r="S76" s="23"/>
      <c r="T76" s="18"/>
      <c r="U76" s="18"/>
      <c r="V76" s="18"/>
    </row>
    <row r="77" spans="2:22" x14ac:dyDescent="0.2">
      <c r="B77" s="234"/>
      <c r="N77" s="23"/>
      <c r="O77" s="18"/>
      <c r="P77" s="18"/>
      <c r="Q77" s="18"/>
      <c r="R77" s="18"/>
      <c r="S77" s="23"/>
      <c r="T77" s="18"/>
      <c r="U77" s="18"/>
      <c r="V77" s="18"/>
    </row>
    <row r="78" spans="2:22" x14ac:dyDescent="0.2">
      <c r="B78" s="234"/>
      <c r="N78" s="23"/>
      <c r="O78" s="18"/>
      <c r="P78" s="18"/>
      <c r="Q78" s="18"/>
      <c r="R78" s="18"/>
      <c r="S78" s="23"/>
      <c r="T78" s="18"/>
      <c r="U78" s="18"/>
      <c r="V78" s="18"/>
    </row>
    <row r="79" spans="2:22" x14ac:dyDescent="0.2">
      <c r="B79" s="234"/>
      <c r="N79" s="23"/>
      <c r="O79" s="18"/>
      <c r="P79" s="18"/>
      <c r="Q79" s="18"/>
      <c r="R79" s="18"/>
      <c r="S79" s="23"/>
      <c r="T79" s="18"/>
      <c r="U79" s="18"/>
      <c r="V79" s="18"/>
    </row>
    <row r="80" spans="2:22" x14ac:dyDescent="0.2">
      <c r="B80" s="234"/>
      <c r="N80" s="23"/>
      <c r="O80" s="18"/>
      <c r="P80" s="18"/>
      <c r="Q80" s="18"/>
      <c r="R80" s="18"/>
      <c r="S80" s="23"/>
      <c r="T80" s="18"/>
      <c r="U80" s="18"/>
      <c r="V80" s="18"/>
    </row>
    <row r="81" spans="2:22" x14ac:dyDescent="0.2">
      <c r="B81" s="234"/>
      <c r="N81" s="23"/>
      <c r="O81" s="18"/>
      <c r="P81" s="18"/>
      <c r="Q81" s="18"/>
      <c r="R81" s="18"/>
      <c r="S81" s="23"/>
      <c r="T81" s="18"/>
      <c r="U81" s="18"/>
      <c r="V81" s="18"/>
    </row>
    <row r="82" spans="2:22" x14ac:dyDescent="0.2">
      <c r="B82" s="234"/>
      <c r="N82" s="23"/>
      <c r="O82" s="18"/>
      <c r="P82" s="18"/>
      <c r="Q82" s="18"/>
      <c r="R82" s="18"/>
      <c r="S82" s="23"/>
      <c r="T82" s="18"/>
      <c r="U82" s="18"/>
      <c r="V82" s="18"/>
    </row>
    <row r="83" spans="2:22" x14ac:dyDescent="0.2">
      <c r="B83" s="234"/>
      <c r="N83" s="23"/>
      <c r="O83" s="18"/>
      <c r="P83" s="18"/>
      <c r="Q83" s="18"/>
      <c r="R83" s="18"/>
      <c r="S83" s="23"/>
      <c r="T83" s="18"/>
      <c r="U83" s="18"/>
      <c r="V83" s="18"/>
    </row>
    <row r="84" spans="2:22" x14ac:dyDescent="0.2">
      <c r="B84" s="234"/>
      <c r="N84" s="23"/>
      <c r="O84" s="18"/>
      <c r="P84" s="18"/>
      <c r="Q84" s="18"/>
      <c r="R84" s="18"/>
      <c r="S84" s="23"/>
      <c r="T84" s="18"/>
      <c r="U84" s="18"/>
      <c r="V84" s="18"/>
    </row>
    <row r="85" spans="2:22" x14ac:dyDescent="0.2">
      <c r="B85" s="234"/>
      <c r="N85" s="23"/>
      <c r="O85" s="18"/>
      <c r="P85" s="18"/>
      <c r="Q85" s="18"/>
      <c r="R85" s="18"/>
      <c r="S85" s="23"/>
      <c r="T85" s="18"/>
      <c r="U85" s="18"/>
      <c r="V85" s="18"/>
    </row>
    <row r="86" spans="2:22" x14ac:dyDescent="0.2">
      <c r="B86" s="234"/>
      <c r="N86" s="23"/>
      <c r="O86" s="18"/>
      <c r="P86" s="18"/>
      <c r="Q86" s="18"/>
      <c r="R86" s="18"/>
      <c r="S86" s="23"/>
      <c r="T86" s="18"/>
      <c r="U86" s="18"/>
      <c r="V86" s="18"/>
    </row>
    <row r="87" spans="2:22" x14ac:dyDescent="0.2">
      <c r="B87" s="234"/>
      <c r="N87" s="23"/>
      <c r="O87" s="18"/>
      <c r="P87" s="18"/>
      <c r="Q87" s="18"/>
      <c r="R87" s="18"/>
      <c r="S87" s="23"/>
      <c r="T87" s="18"/>
      <c r="U87" s="18"/>
      <c r="V87" s="18"/>
    </row>
    <row r="88" spans="2:22" x14ac:dyDescent="0.2">
      <c r="B88" s="234"/>
      <c r="N88" s="23"/>
      <c r="O88" s="18"/>
      <c r="P88" s="18"/>
      <c r="Q88" s="18"/>
      <c r="R88" s="18"/>
      <c r="S88" s="23"/>
      <c r="T88" s="18"/>
      <c r="U88" s="18"/>
      <c r="V88" s="18"/>
    </row>
    <row r="89" spans="2:22" x14ac:dyDescent="0.2">
      <c r="B89" s="234"/>
      <c r="N89" s="23"/>
      <c r="O89" s="18"/>
      <c r="P89" s="18"/>
      <c r="Q89" s="18"/>
      <c r="R89" s="18"/>
      <c r="S89" s="23"/>
      <c r="T89" s="18"/>
      <c r="U89" s="18"/>
      <c r="V89" s="18"/>
    </row>
    <row r="90" spans="2:22" x14ac:dyDescent="0.2">
      <c r="B90" s="234"/>
      <c r="N90" s="23"/>
      <c r="O90" s="18"/>
      <c r="P90" s="18"/>
      <c r="Q90" s="18"/>
      <c r="R90" s="18"/>
      <c r="S90" s="23"/>
      <c r="T90" s="18"/>
      <c r="U90" s="18"/>
      <c r="V90" s="18"/>
    </row>
    <row r="91" spans="2:22" x14ac:dyDescent="0.2">
      <c r="B91" s="234"/>
      <c r="N91" s="23"/>
      <c r="O91" s="18"/>
      <c r="P91" s="18"/>
      <c r="Q91" s="18"/>
      <c r="R91" s="18"/>
      <c r="S91" s="23"/>
      <c r="T91" s="18"/>
      <c r="U91" s="18"/>
      <c r="V91" s="18"/>
    </row>
    <row r="92" spans="2:22" x14ac:dyDescent="0.2">
      <c r="B92" s="234"/>
      <c r="N92" s="23"/>
      <c r="O92" s="18"/>
      <c r="P92" s="18"/>
      <c r="Q92" s="18"/>
      <c r="R92" s="18"/>
      <c r="S92" s="23"/>
      <c r="T92" s="18"/>
      <c r="U92" s="18"/>
      <c r="V92" s="18"/>
    </row>
    <row r="93" spans="2:22" x14ac:dyDescent="0.2">
      <c r="B93" s="234"/>
      <c r="N93" s="23"/>
      <c r="O93" s="18"/>
      <c r="P93" s="18"/>
      <c r="Q93" s="18"/>
      <c r="R93" s="18"/>
      <c r="S93" s="23"/>
      <c r="T93" s="18"/>
      <c r="U93" s="18"/>
      <c r="V93" s="18"/>
    </row>
    <row r="94" spans="2:22" x14ac:dyDescent="0.2">
      <c r="B94" s="234"/>
      <c r="N94" s="23"/>
      <c r="O94" s="18"/>
      <c r="P94" s="18"/>
      <c r="Q94" s="18"/>
      <c r="R94" s="18"/>
      <c r="S94" s="23"/>
      <c r="T94" s="18"/>
      <c r="U94" s="18"/>
      <c r="V94" s="18"/>
    </row>
    <row r="95" spans="2:22" x14ac:dyDescent="0.2">
      <c r="B95" s="234"/>
      <c r="N95" s="23"/>
      <c r="O95" s="18"/>
      <c r="P95" s="18"/>
      <c r="Q95" s="18"/>
      <c r="R95" s="18"/>
      <c r="S95" s="23"/>
      <c r="T95" s="18"/>
      <c r="U95" s="18"/>
      <c r="V95" s="18"/>
    </row>
    <row r="96" spans="2:22" x14ac:dyDescent="0.2">
      <c r="B96" s="234"/>
      <c r="N96" s="23"/>
      <c r="O96" s="18"/>
      <c r="P96" s="18"/>
      <c r="Q96" s="18"/>
      <c r="R96" s="18"/>
      <c r="S96" s="23"/>
      <c r="T96" s="18"/>
      <c r="U96" s="18"/>
      <c r="V96" s="18"/>
    </row>
    <row r="97" spans="2:22" x14ac:dyDescent="0.2">
      <c r="B97" s="234"/>
      <c r="N97" s="23"/>
      <c r="O97" s="18"/>
      <c r="P97" s="18"/>
      <c r="Q97" s="18"/>
      <c r="R97" s="18"/>
      <c r="S97" s="23"/>
      <c r="T97" s="18"/>
      <c r="U97" s="18"/>
      <c r="V97" s="18"/>
    </row>
    <row r="98" spans="2:22" x14ac:dyDescent="0.2">
      <c r="B98" s="234"/>
      <c r="N98" s="23"/>
      <c r="O98" s="18"/>
      <c r="P98" s="18"/>
      <c r="Q98" s="18"/>
      <c r="R98" s="18"/>
      <c r="S98" s="23"/>
      <c r="T98" s="18"/>
      <c r="U98" s="18"/>
      <c r="V98" s="18"/>
    </row>
    <row r="99" spans="2:22" x14ac:dyDescent="0.2">
      <c r="B99" s="234"/>
      <c r="N99" s="23"/>
      <c r="O99" s="18"/>
      <c r="P99" s="18"/>
      <c r="Q99" s="18"/>
      <c r="R99" s="18"/>
      <c r="S99" s="23"/>
      <c r="T99" s="18"/>
      <c r="U99" s="18"/>
      <c r="V99" s="18"/>
    </row>
    <row r="100" spans="2:22" x14ac:dyDescent="0.2">
      <c r="B100" s="234"/>
      <c r="N100" s="23"/>
      <c r="O100" s="18"/>
      <c r="P100" s="18"/>
      <c r="Q100" s="18"/>
      <c r="R100" s="18"/>
      <c r="S100" s="23"/>
      <c r="T100" s="18"/>
      <c r="U100" s="18"/>
      <c r="V100" s="18"/>
    </row>
    <row r="101" spans="2:22" x14ac:dyDescent="0.2">
      <c r="B101" s="234"/>
      <c r="N101" s="23"/>
      <c r="O101" s="18"/>
      <c r="P101" s="18"/>
      <c r="Q101" s="18"/>
      <c r="R101" s="18"/>
      <c r="S101" s="23"/>
      <c r="T101" s="18"/>
      <c r="U101" s="18"/>
      <c r="V101" s="18"/>
    </row>
    <row r="102" spans="2:22" x14ac:dyDescent="0.2">
      <c r="U102" s="18"/>
      <c r="V102" s="18"/>
    </row>
    <row r="103" spans="2:22" x14ac:dyDescent="0.2">
      <c r="U103" s="18"/>
      <c r="V103" s="18"/>
    </row>
  </sheetData>
  <sheetProtection password="C5A4" sheet="1" objects="1" scenarios="1" formatCells="0" formatColumns="0" formatRows="0" insertColumns="0" insertRows="0" insertHyperlinks="0" deleteColumns="0" deleteRows="0" sort="0" autoFilter="0" pivotTables="0"/>
  <mergeCells count="2">
    <mergeCell ref="C4:M4"/>
    <mergeCell ref="O4:R4"/>
  </mergeCells>
  <pageMargins left="0.75" right="0.75" top="1" bottom="1" header="0.5" footer="0.5"/>
  <pageSetup scale="56" orientation="landscape" r:id="rId1"/>
  <headerFooter alignWithMargins="0">
    <oddFooter>&amp;L&amp;6&amp;Z&amp;F &amp;A &amp;D &amp;T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59"/>
  <sheetViews>
    <sheetView workbookViewId="0">
      <pane xSplit="2" ySplit="2" topLeftCell="C14" activePane="bottomRight" state="frozen"/>
      <selection pane="topRight" activeCell="C1" sqref="C1"/>
      <selection pane="bottomLeft" activeCell="A3" sqref="A3"/>
      <selection pane="bottomRight" activeCell="AM50" sqref="AM50"/>
    </sheetView>
  </sheetViews>
  <sheetFormatPr defaultColWidth="9.140625" defaultRowHeight="15.75" x14ac:dyDescent="0.25"/>
  <cols>
    <col min="1" max="1" width="10.42578125" style="59" bestFit="1" customWidth="1"/>
    <col min="2" max="2" width="33.85546875" style="60" bestFit="1" customWidth="1"/>
    <col min="3" max="32" width="10" style="60" customWidth="1"/>
    <col min="33" max="33" width="10" style="60" hidden="1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2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39" ht="16.5" thickBot="1" x14ac:dyDescent="0.3">
      <c r="A1" s="170" t="s">
        <v>122</v>
      </c>
      <c r="B1" s="378" t="str">
        <f>'Cash Flow'!C1</f>
        <v>September</v>
      </c>
      <c r="C1" s="228" t="str">
        <f t="array" ref="C1:AG1">TRANSPOSE('Cash Flow'!B8:B38)</f>
        <v>Thu</v>
      </c>
      <c r="D1" s="228" t="str">
        <v>Fri</v>
      </c>
      <c r="E1" s="228" t="str">
        <v>Sat</v>
      </c>
      <c r="F1" s="228" t="str">
        <v>Sun</v>
      </c>
      <c r="G1" s="228" t="str">
        <v>Mon</v>
      </c>
      <c r="H1" s="228" t="str">
        <v>Tue</v>
      </c>
      <c r="I1" s="228" t="str">
        <v>Wed</v>
      </c>
      <c r="J1" s="228" t="str">
        <v>Thu</v>
      </c>
      <c r="K1" s="228" t="str">
        <v>Fri</v>
      </c>
      <c r="L1" s="228" t="str">
        <v>Sat</v>
      </c>
      <c r="M1" s="228" t="str">
        <v>Sun</v>
      </c>
      <c r="N1" s="228" t="str">
        <v>Mon</v>
      </c>
      <c r="O1" s="228" t="str">
        <v>Tue</v>
      </c>
      <c r="P1" s="228" t="str">
        <v>Wed</v>
      </c>
      <c r="Q1" s="228" t="str">
        <v>Thu</v>
      </c>
      <c r="R1" s="228" t="str">
        <v>Fri</v>
      </c>
      <c r="S1" s="228" t="str">
        <v>Sat</v>
      </c>
      <c r="T1" s="228" t="str">
        <v>Sun</v>
      </c>
      <c r="U1" s="228" t="str">
        <v>Mon</v>
      </c>
      <c r="V1" s="228" t="str">
        <v>Tue</v>
      </c>
      <c r="W1" s="228" t="str">
        <v>Wed</v>
      </c>
      <c r="X1" s="228" t="str">
        <v>Thu</v>
      </c>
      <c r="Y1" s="228" t="str">
        <v>Fri</v>
      </c>
      <c r="Z1" s="228" t="str">
        <v>Sat</v>
      </c>
      <c r="AA1" s="228" t="str">
        <v>Sun</v>
      </c>
      <c r="AB1" s="228" t="str">
        <v>Mon</v>
      </c>
      <c r="AC1" s="228" t="str">
        <v>Tue</v>
      </c>
      <c r="AD1" s="228" t="str">
        <v>Wed</v>
      </c>
      <c r="AE1" s="228" t="str">
        <v>Thu</v>
      </c>
      <c r="AF1" s="228" t="str">
        <v>Fri</v>
      </c>
      <c r="AG1" s="228" t="str">
        <v>Sat</v>
      </c>
    </row>
    <row r="2" spans="1:39" s="60" customFormat="1" ht="16.5" thickBot="1" x14ac:dyDescent="0.3">
      <c r="A2" s="63" t="s">
        <v>66</v>
      </c>
      <c r="B2" s="64" t="s">
        <v>131</v>
      </c>
      <c r="C2" s="106">
        <f>'Cash Flow'!A8</f>
        <v>44805</v>
      </c>
      <c r="D2" s="106">
        <f>C2+1</f>
        <v>44806</v>
      </c>
      <c r="E2" s="106">
        <f>D2+1</f>
        <v>44807</v>
      </c>
      <c r="F2" s="106">
        <f t="shared" ref="F2:AG2" si="0">E2+1</f>
        <v>44808</v>
      </c>
      <c r="G2" s="106">
        <f t="shared" si="0"/>
        <v>44809</v>
      </c>
      <c r="H2" s="106">
        <f t="shared" si="0"/>
        <v>44810</v>
      </c>
      <c r="I2" s="106">
        <f t="shared" si="0"/>
        <v>44811</v>
      </c>
      <c r="J2" s="106">
        <f t="shared" si="0"/>
        <v>44812</v>
      </c>
      <c r="K2" s="106">
        <f t="shared" si="0"/>
        <v>44813</v>
      </c>
      <c r="L2" s="106">
        <f t="shared" si="0"/>
        <v>44814</v>
      </c>
      <c r="M2" s="106">
        <f t="shared" si="0"/>
        <v>44815</v>
      </c>
      <c r="N2" s="106">
        <f t="shared" si="0"/>
        <v>44816</v>
      </c>
      <c r="O2" s="106">
        <f t="shared" si="0"/>
        <v>44817</v>
      </c>
      <c r="P2" s="106">
        <f t="shared" si="0"/>
        <v>44818</v>
      </c>
      <c r="Q2" s="106">
        <f t="shared" si="0"/>
        <v>44819</v>
      </c>
      <c r="R2" s="106">
        <f t="shared" si="0"/>
        <v>44820</v>
      </c>
      <c r="S2" s="106">
        <f t="shared" si="0"/>
        <v>44821</v>
      </c>
      <c r="T2" s="106">
        <f t="shared" si="0"/>
        <v>44822</v>
      </c>
      <c r="U2" s="106">
        <f t="shared" si="0"/>
        <v>44823</v>
      </c>
      <c r="V2" s="106">
        <f t="shared" si="0"/>
        <v>44824</v>
      </c>
      <c r="W2" s="106">
        <f t="shared" si="0"/>
        <v>44825</v>
      </c>
      <c r="X2" s="106">
        <f t="shared" si="0"/>
        <v>44826</v>
      </c>
      <c r="Y2" s="106">
        <f t="shared" si="0"/>
        <v>44827</v>
      </c>
      <c r="Z2" s="106">
        <f t="shared" si="0"/>
        <v>44828</v>
      </c>
      <c r="AA2" s="106">
        <f t="shared" si="0"/>
        <v>44829</v>
      </c>
      <c r="AB2" s="106">
        <f t="shared" si="0"/>
        <v>44830</v>
      </c>
      <c r="AC2" s="106">
        <f t="shared" si="0"/>
        <v>44831</v>
      </c>
      <c r="AD2" s="106">
        <f t="shared" si="0"/>
        <v>44832</v>
      </c>
      <c r="AE2" s="106">
        <f t="shared" si="0"/>
        <v>44833</v>
      </c>
      <c r="AF2" s="106">
        <f t="shared" si="0"/>
        <v>44834</v>
      </c>
      <c r="AG2" s="106">
        <f t="shared" si="0"/>
        <v>44835</v>
      </c>
      <c r="AH2" s="65" t="s">
        <v>59</v>
      </c>
      <c r="AI2" s="62"/>
      <c r="AJ2" s="63" t="s">
        <v>66</v>
      </c>
      <c r="AK2" s="64" t="s">
        <v>131</v>
      </c>
    </row>
    <row r="3" spans="1:39" x14ac:dyDescent="0.25">
      <c r="A3" s="66" t="s">
        <v>61</v>
      </c>
      <c r="B3" s="67" t="s">
        <v>62</v>
      </c>
      <c r="C3" s="68">
        <v>19.05</v>
      </c>
      <c r="D3" s="185">
        <v>48.65</v>
      </c>
      <c r="E3" s="185">
        <v>124.98</v>
      </c>
      <c r="F3" s="185">
        <v>155.65</v>
      </c>
      <c r="G3" s="185">
        <v>66.86</v>
      </c>
      <c r="H3" s="185">
        <v>29.22</v>
      </c>
      <c r="I3" s="185">
        <v>23.03</v>
      </c>
      <c r="J3" s="185">
        <v>29.77</v>
      </c>
      <c r="K3" s="185">
        <v>53.7</v>
      </c>
      <c r="L3" s="185">
        <v>57.39</v>
      </c>
      <c r="M3" s="185">
        <v>46.51</v>
      </c>
      <c r="N3" s="185">
        <v>24.01</v>
      </c>
      <c r="O3" s="185">
        <v>21.78</v>
      </c>
      <c r="P3" s="185">
        <v>24.77</v>
      </c>
      <c r="Q3" s="185">
        <v>33.92</v>
      </c>
      <c r="R3" s="185">
        <v>30.68</v>
      </c>
      <c r="S3" s="185">
        <v>83.39</v>
      </c>
      <c r="T3" s="185">
        <v>49.96</v>
      </c>
      <c r="U3" s="185">
        <v>31.61</v>
      </c>
      <c r="V3" s="185">
        <v>12.53</v>
      </c>
      <c r="W3" s="185">
        <v>20.46</v>
      </c>
      <c r="X3" s="185">
        <v>25.9</v>
      </c>
      <c r="Y3" s="185">
        <v>46.32</v>
      </c>
      <c r="Z3" s="185">
        <v>95.35</v>
      </c>
      <c r="AA3" s="185">
        <v>55.47</v>
      </c>
      <c r="AB3" s="185">
        <v>48.24</v>
      </c>
      <c r="AC3" s="185">
        <v>16.62</v>
      </c>
      <c r="AD3" s="185">
        <v>26.67</v>
      </c>
      <c r="AE3" s="185">
        <v>24.38</v>
      </c>
      <c r="AF3" s="185">
        <v>25.51</v>
      </c>
      <c r="AG3" s="185"/>
      <c r="AH3" s="108">
        <f>SUM(C3:AG3)</f>
        <v>1352.3799999999999</v>
      </c>
      <c r="AJ3" s="66" t="s">
        <v>61</v>
      </c>
      <c r="AK3" s="67" t="s">
        <v>62</v>
      </c>
      <c r="AL3" s="210"/>
      <c r="AM3" s="210"/>
    </row>
    <row r="4" spans="1:39" x14ac:dyDescent="0.25">
      <c r="A4" s="69" t="s">
        <v>30</v>
      </c>
      <c r="B4" s="70" t="s">
        <v>31</v>
      </c>
      <c r="C4" s="71">
        <v>3651.6</v>
      </c>
      <c r="D4" s="72">
        <v>5577.4</v>
      </c>
      <c r="E4" s="71">
        <v>17792.599999999999</v>
      </c>
      <c r="F4" s="71">
        <v>19678.8</v>
      </c>
      <c r="G4" s="71">
        <v>8204.6</v>
      </c>
      <c r="H4" s="71">
        <v>3998.6</v>
      </c>
      <c r="I4" s="71">
        <v>3824.4</v>
      </c>
      <c r="J4" s="71">
        <v>3887</v>
      </c>
      <c r="K4" s="71">
        <v>6251.4</v>
      </c>
      <c r="L4" s="71">
        <v>10386.4</v>
      </c>
      <c r="M4" s="71">
        <v>6107.9</v>
      </c>
      <c r="N4" s="71">
        <v>4067.2</v>
      </c>
      <c r="O4" s="71">
        <v>3319</v>
      </c>
      <c r="P4" s="71">
        <v>3196.8</v>
      </c>
      <c r="Q4" s="71">
        <v>4989.2</v>
      </c>
      <c r="R4" s="71">
        <v>4839.6000000000004</v>
      </c>
      <c r="S4" s="71">
        <v>9014.4</v>
      </c>
      <c r="T4" s="71">
        <v>6619.6</v>
      </c>
      <c r="U4" s="71">
        <v>4039.4</v>
      </c>
      <c r="V4" s="71">
        <v>2628.8</v>
      </c>
      <c r="W4" s="71">
        <v>2972.2</v>
      </c>
      <c r="X4" s="71">
        <v>3409.4</v>
      </c>
      <c r="Y4" s="71">
        <v>6132.8</v>
      </c>
      <c r="Z4" s="71">
        <v>10983.5</v>
      </c>
      <c r="AA4" s="71">
        <v>7803.6</v>
      </c>
      <c r="AB4" s="71">
        <v>3994</v>
      </c>
      <c r="AC4" s="71">
        <v>3902.4</v>
      </c>
      <c r="AD4" s="71">
        <v>3657.2</v>
      </c>
      <c r="AE4" s="71">
        <v>4684.6000000000004</v>
      </c>
      <c r="AF4" s="71">
        <v>4308</v>
      </c>
      <c r="AG4" s="71"/>
      <c r="AH4" s="108">
        <f t="shared" ref="AH4:AH27" si="1">SUM(C4:AG4)</f>
        <v>183922.4</v>
      </c>
      <c r="AJ4" s="69" t="s">
        <v>30</v>
      </c>
      <c r="AK4" s="70" t="s">
        <v>31</v>
      </c>
      <c r="AL4" s="210"/>
      <c r="AM4" s="210"/>
    </row>
    <row r="5" spans="1:39" x14ac:dyDescent="0.25">
      <c r="A5" s="69" t="s">
        <v>177</v>
      </c>
      <c r="B5" s="70" t="s">
        <v>200</v>
      </c>
      <c r="C5" s="71"/>
      <c r="D5" s="72">
        <v>167.4</v>
      </c>
      <c r="E5" s="72">
        <v>570</v>
      </c>
      <c r="F5" s="72">
        <v>820.8</v>
      </c>
      <c r="G5" s="72">
        <v>247.2</v>
      </c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/>
      <c r="Z5" s="72"/>
      <c r="AA5" s="72"/>
      <c r="AB5" s="72"/>
      <c r="AC5" s="72"/>
      <c r="AD5" s="72"/>
      <c r="AE5" s="72"/>
      <c r="AF5" s="72"/>
      <c r="AG5" s="72"/>
      <c r="AH5" s="108">
        <f t="shared" si="1"/>
        <v>1805.3999999999999</v>
      </c>
      <c r="AJ5" s="69" t="s">
        <v>177</v>
      </c>
      <c r="AK5" s="70" t="s">
        <v>63</v>
      </c>
      <c r="AM5" s="210"/>
    </row>
    <row r="6" spans="1:39" hidden="1" x14ac:dyDescent="0.25">
      <c r="A6" s="370" t="s">
        <v>153</v>
      </c>
      <c r="B6" s="371" t="s">
        <v>154</v>
      </c>
      <c r="C6" s="372"/>
      <c r="D6" s="373"/>
      <c r="E6" s="373"/>
      <c r="F6" s="373"/>
      <c r="G6" s="373"/>
      <c r="H6" s="373"/>
      <c r="I6" s="373"/>
      <c r="J6" s="373"/>
      <c r="K6" s="373"/>
      <c r="L6" s="373"/>
      <c r="M6" s="373"/>
      <c r="N6" s="373"/>
      <c r="O6" s="373"/>
      <c r="P6" s="373"/>
      <c r="Q6" s="373"/>
      <c r="R6" s="373"/>
      <c r="S6" s="373"/>
      <c r="T6" s="373"/>
      <c r="U6" s="373"/>
      <c r="V6" s="373"/>
      <c r="W6" s="373"/>
      <c r="X6" s="373"/>
      <c r="Y6" s="373"/>
      <c r="Z6" s="373"/>
      <c r="AA6" s="373"/>
      <c r="AB6" s="373"/>
      <c r="AC6" s="373"/>
      <c r="AD6" s="373"/>
      <c r="AE6" s="373"/>
      <c r="AF6" s="373"/>
      <c r="AG6" s="373"/>
      <c r="AH6" s="374">
        <f>SUM(C6:AG6)</f>
        <v>0</v>
      </c>
      <c r="AI6" s="375"/>
      <c r="AJ6" s="370" t="s">
        <v>153</v>
      </c>
      <c r="AK6" s="371" t="s">
        <v>154</v>
      </c>
      <c r="AM6" s="210"/>
    </row>
    <row r="7" spans="1:39" x14ac:dyDescent="0.25">
      <c r="A7" s="370" t="s">
        <v>155</v>
      </c>
      <c r="B7" s="371" t="s">
        <v>196</v>
      </c>
      <c r="C7" s="372">
        <v>52.5</v>
      </c>
      <c r="D7" s="373">
        <v>520</v>
      </c>
      <c r="E7" s="373"/>
      <c r="F7" s="373">
        <v>215</v>
      </c>
      <c r="G7" s="373">
        <v>160</v>
      </c>
      <c r="H7" s="373">
        <v>367.5</v>
      </c>
      <c r="I7" s="373">
        <v>470</v>
      </c>
      <c r="J7" s="373">
        <v>415</v>
      </c>
      <c r="K7" s="373">
        <v>770</v>
      </c>
      <c r="L7" s="373"/>
      <c r="M7" s="373">
        <v>905</v>
      </c>
      <c r="N7" s="373"/>
      <c r="O7" s="373">
        <v>52.5</v>
      </c>
      <c r="P7" s="373">
        <v>52.5</v>
      </c>
      <c r="Q7" s="373">
        <v>310</v>
      </c>
      <c r="R7" s="373">
        <v>540</v>
      </c>
      <c r="S7" s="373"/>
      <c r="T7" s="373">
        <v>215</v>
      </c>
      <c r="U7" s="373"/>
      <c r="V7" s="373">
        <v>880</v>
      </c>
      <c r="W7" s="373">
        <v>120</v>
      </c>
      <c r="X7" s="373"/>
      <c r="Y7" s="373">
        <v>615</v>
      </c>
      <c r="Z7" s="373"/>
      <c r="AA7" s="373">
        <v>215</v>
      </c>
      <c r="AB7" s="373"/>
      <c r="AC7" s="373">
        <v>360</v>
      </c>
      <c r="AD7" s="373">
        <v>747.5</v>
      </c>
      <c r="AE7" s="373"/>
      <c r="AF7" s="373">
        <v>720</v>
      </c>
      <c r="AG7" s="373"/>
      <c r="AH7" s="374">
        <f>SUM(C7:AG7)</f>
        <v>8702.5</v>
      </c>
      <c r="AI7" s="375"/>
      <c r="AJ7" s="370" t="s">
        <v>155</v>
      </c>
      <c r="AK7" s="371" t="s">
        <v>196</v>
      </c>
      <c r="AM7" s="210"/>
    </row>
    <row r="8" spans="1:39" x14ac:dyDescent="0.25">
      <c r="A8" s="370" t="s">
        <v>155</v>
      </c>
      <c r="B8" s="371" t="s">
        <v>235</v>
      </c>
      <c r="C8" s="372">
        <v>600</v>
      </c>
      <c r="D8" s="373">
        <v>1080</v>
      </c>
      <c r="E8" s="373">
        <v>2264</v>
      </c>
      <c r="F8" s="373">
        <v>2624</v>
      </c>
      <c r="G8" s="373">
        <v>1648</v>
      </c>
      <c r="H8" s="373">
        <v>480</v>
      </c>
      <c r="I8" s="373">
        <v>360</v>
      </c>
      <c r="J8" s="373">
        <v>240</v>
      </c>
      <c r="K8" s="373">
        <v>704</v>
      </c>
      <c r="L8" s="373">
        <v>1736</v>
      </c>
      <c r="M8" s="373">
        <v>840</v>
      </c>
      <c r="N8" s="373">
        <v>600</v>
      </c>
      <c r="O8" s="373">
        <v>704</v>
      </c>
      <c r="P8" s="373">
        <v>120</v>
      </c>
      <c r="Q8" s="373">
        <v>840</v>
      </c>
      <c r="R8" s="373">
        <v>360</v>
      </c>
      <c r="S8" s="373">
        <v>1080</v>
      </c>
      <c r="T8" s="373">
        <v>584</v>
      </c>
      <c r="U8" s="373">
        <v>1304</v>
      </c>
      <c r="V8" s="373">
        <v>120</v>
      </c>
      <c r="W8" s="373">
        <v>240</v>
      </c>
      <c r="X8" s="373">
        <v>240</v>
      </c>
      <c r="Y8" s="373">
        <v>944</v>
      </c>
      <c r="Z8" s="373">
        <v>1184</v>
      </c>
      <c r="AA8" s="373">
        <v>1424</v>
      </c>
      <c r="AB8" s="373">
        <v>1168</v>
      </c>
      <c r="AC8" s="373">
        <v>120</v>
      </c>
      <c r="AD8" s="373">
        <v>584</v>
      </c>
      <c r="AE8" s="373">
        <v>360</v>
      </c>
      <c r="AF8" s="373">
        <v>704</v>
      </c>
      <c r="AG8" s="373"/>
      <c r="AH8" s="374">
        <f>SUM(C8:AG8)</f>
        <v>25256</v>
      </c>
      <c r="AI8" s="375"/>
      <c r="AJ8" s="370" t="s">
        <v>155</v>
      </c>
      <c r="AK8" s="371" t="s">
        <v>235</v>
      </c>
      <c r="AM8" s="210"/>
    </row>
    <row r="9" spans="1:39" x14ac:dyDescent="0.25">
      <c r="A9" s="370" t="s">
        <v>160</v>
      </c>
      <c r="B9" s="371" t="s">
        <v>161</v>
      </c>
      <c r="C9" s="372"/>
      <c r="D9" s="373"/>
      <c r="E9" s="373"/>
      <c r="F9" s="373"/>
      <c r="G9" s="373"/>
      <c r="H9" s="373"/>
      <c r="I9" s="373"/>
      <c r="J9" s="373"/>
      <c r="K9" s="373"/>
      <c r="L9" s="373"/>
      <c r="M9" s="373"/>
      <c r="N9" s="373"/>
      <c r="O9" s="373"/>
      <c r="P9" s="373"/>
      <c r="Q9" s="373"/>
      <c r="R9" s="373"/>
      <c r="S9" s="373">
        <v>180</v>
      </c>
      <c r="T9" s="373"/>
      <c r="U9" s="373"/>
      <c r="V9" s="373"/>
      <c r="W9" s="373"/>
      <c r="X9" s="373"/>
      <c r="Y9" s="373"/>
      <c r="Z9" s="373"/>
      <c r="AA9" s="373"/>
      <c r="AB9" s="373"/>
      <c r="AC9" s="373"/>
      <c r="AD9" s="373"/>
      <c r="AE9" s="373"/>
      <c r="AF9" s="373"/>
      <c r="AG9" s="373"/>
      <c r="AH9" s="374">
        <f t="shared" ref="AH9:AH13" si="2">SUM(C9:AG9)</f>
        <v>180</v>
      </c>
      <c r="AI9" s="375"/>
      <c r="AJ9" s="370" t="s">
        <v>160</v>
      </c>
      <c r="AK9" s="371" t="s">
        <v>161</v>
      </c>
      <c r="AM9" s="210"/>
    </row>
    <row r="10" spans="1:39" x14ac:dyDescent="0.25">
      <c r="A10" s="370" t="s">
        <v>162</v>
      </c>
      <c r="B10" s="371" t="s">
        <v>163</v>
      </c>
      <c r="C10" s="372"/>
      <c r="D10" s="373"/>
      <c r="E10" s="373"/>
      <c r="F10" s="373"/>
      <c r="G10" s="373"/>
      <c r="H10" s="373"/>
      <c r="I10" s="373"/>
      <c r="J10" s="373"/>
      <c r="K10" s="373"/>
      <c r="L10" s="373"/>
      <c r="M10" s="373"/>
      <c r="N10" s="373"/>
      <c r="O10" s="373"/>
      <c r="P10" s="373"/>
      <c r="Q10" s="373"/>
      <c r="R10" s="373"/>
      <c r="S10" s="373"/>
      <c r="T10" s="373"/>
      <c r="U10" s="373"/>
      <c r="V10" s="373"/>
      <c r="W10" s="373"/>
      <c r="X10" s="373"/>
      <c r="Y10" s="373"/>
      <c r="Z10" s="373"/>
      <c r="AA10" s="373"/>
      <c r="AB10" s="373"/>
      <c r="AC10" s="373"/>
      <c r="AD10" s="373"/>
      <c r="AE10" s="373"/>
      <c r="AF10" s="373"/>
      <c r="AG10" s="373"/>
      <c r="AH10" s="374">
        <f t="shared" si="2"/>
        <v>0</v>
      </c>
      <c r="AI10" s="375"/>
      <c r="AJ10" s="370" t="s">
        <v>162</v>
      </c>
      <c r="AK10" s="371" t="s">
        <v>163</v>
      </c>
      <c r="AM10" s="210"/>
    </row>
    <row r="11" spans="1:39" hidden="1" x14ac:dyDescent="0.25">
      <c r="A11" s="370" t="s">
        <v>156</v>
      </c>
      <c r="B11" s="371" t="s">
        <v>157</v>
      </c>
      <c r="C11" s="372"/>
      <c r="D11" s="373"/>
      <c r="E11" s="373"/>
      <c r="F11" s="373"/>
      <c r="G11" s="373"/>
      <c r="H11" s="373"/>
      <c r="I11" s="373"/>
      <c r="J11" s="373"/>
      <c r="K11" s="373"/>
      <c r="L11" s="373"/>
      <c r="M11" s="373"/>
      <c r="N11" s="373"/>
      <c r="O11" s="373"/>
      <c r="P11" s="373"/>
      <c r="Q11" s="373"/>
      <c r="R11" s="373"/>
      <c r="S11" s="373"/>
      <c r="T11" s="373"/>
      <c r="U11" s="373"/>
      <c r="V11" s="373"/>
      <c r="W11" s="373"/>
      <c r="X11" s="373"/>
      <c r="Y11" s="373"/>
      <c r="Z11" s="373"/>
      <c r="AA11" s="373"/>
      <c r="AB11" s="373"/>
      <c r="AC11" s="373"/>
      <c r="AD11" s="373"/>
      <c r="AE11" s="373"/>
      <c r="AF11" s="373"/>
      <c r="AG11" s="373"/>
      <c r="AH11" s="374">
        <f t="shared" si="2"/>
        <v>0</v>
      </c>
      <c r="AI11" s="375"/>
      <c r="AJ11" s="370" t="s">
        <v>156</v>
      </c>
      <c r="AK11" s="371" t="s">
        <v>157</v>
      </c>
      <c r="AM11" s="210"/>
    </row>
    <row r="12" spans="1:39" hidden="1" x14ac:dyDescent="0.25">
      <c r="A12" s="370" t="s">
        <v>167</v>
      </c>
      <c r="B12" s="371" t="s">
        <v>168</v>
      </c>
      <c r="C12" s="372"/>
      <c r="D12" s="373"/>
      <c r="E12" s="373"/>
      <c r="F12" s="373"/>
      <c r="G12" s="373"/>
      <c r="H12" s="373"/>
      <c r="I12" s="373"/>
      <c r="J12" s="373"/>
      <c r="K12" s="373"/>
      <c r="L12" s="373"/>
      <c r="M12" s="373"/>
      <c r="N12" s="373"/>
      <c r="O12" s="373"/>
      <c r="P12" s="373"/>
      <c r="Q12" s="373"/>
      <c r="R12" s="373"/>
      <c r="S12" s="373"/>
      <c r="T12" s="373"/>
      <c r="U12" s="373"/>
      <c r="V12" s="373"/>
      <c r="W12" s="373"/>
      <c r="X12" s="373"/>
      <c r="Y12" s="373"/>
      <c r="Z12" s="373"/>
      <c r="AA12" s="373"/>
      <c r="AB12" s="373"/>
      <c r="AC12" s="373"/>
      <c r="AD12" s="373"/>
      <c r="AE12" s="373"/>
      <c r="AF12" s="373"/>
      <c r="AG12" s="373"/>
      <c r="AH12" s="374">
        <f t="shared" si="2"/>
        <v>0</v>
      </c>
      <c r="AI12" s="375"/>
      <c r="AJ12" s="370" t="s">
        <v>167</v>
      </c>
      <c r="AK12" s="371" t="s">
        <v>168</v>
      </c>
      <c r="AM12" s="210"/>
    </row>
    <row r="13" spans="1:39" hidden="1" x14ac:dyDescent="0.25">
      <c r="A13" s="370" t="s">
        <v>169</v>
      </c>
      <c r="B13" s="371" t="s">
        <v>170</v>
      </c>
      <c r="C13" s="372"/>
      <c r="D13" s="373"/>
      <c r="E13" s="373"/>
      <c r="F13" s="373"/>
      <c r="G13" s="373"/>
      <c r="H13" s="373"/>
      <c r="I13" s="373"/>
      <c r="J13" s="373"/>
      <c r="K13" s="373"/>
      <c r="L13" s="373"/>
      <c r="M13" s="373"/>
      <c r="N13" s="373"/>
      <c r="O13" s="373"/>
      <c r="P13" s="373"/>
      <c r="Q13" s="373"/>
      <c r="R13" s="373"/>
      <c r="S13" s="373"/>
      <c r="T13" s="373"/>
      <c r="U13" s="373"/>
      <c r="V13" s="373"/>
      <c r="W13" s="373"/>
      <c r="X13" s="373"/>
      <c r="Y13" s="373"/>
      <c r="Z13" s="373"/>
      <c r="AA13" s="373"/>
      <c r="AB13" s="373"/>
      <c r="AC13" s="373"/>
      <c r="AD13" s="373"/>
      <c r="AE13" s="373"/>
      <c r="AF13" s="373"/>
      <c r="AG13" s="373"/>
      <c r="AH13" s="374">
        <f t="shared" si="2"/>
        <v>0</v>
      </c>
      <c r="AI13" s="375"/>
      <c r="AJ13" s="370" t="s">
        <v>169</v>
      </c>
      <c r="AK13" s="371" t="s">
        <v>170</v>
      </c>
      <c r="AM13" s="210"/>
    </row>
    <row r="14" spans="1:39" x14ac:dyDescent="0.25">
      <c r="A14" s="69" t="s">
        <v>34</v>
      </c>
      <c r="B14" s="70" t="s">
        <v>35</v>
      </c>
      <c r="C14" s="71">
        <v>12</v>
      </c>
      <c r="D14" s="72">
        <v>124</v>
      </c>
      <c r="E14" s="72">
        <v>76</v>
      </c>
      <c r="F14" s="72">
        <v>20</v>
      </c>
      <c r="G14" s="72">
        <v>24</v>
      </c>
      <c r="H14" s="72">
        <v>305</v>
      </c>
      <c r="I14" s="72">
        <v>8</v>
      </c>
      <c r="J14" s="72">
        <v>60</v>
      </c>
      <c r="K14" s="72">
        <v>75</v>
      </c>
      <c r="L14" s="72">
        <v>16</v>
      </c>
      <c r="M14" s="72">
        <v>16</v>
      </c>
      <c r="N14" s="72">
        <v>20</v>
      </c>
      <c r="O14" s="72">
        <v>104</v>
      </c>
      <c r="P14" s="72">
        <v>24</v>
      </c>
      <c r="Q14" s="72">
        <v>24</v>
      </c>
      <c r="R14" s="72">
        <v>117</v>
      </c>
      <c r="S14" s="72">
        <v>24</v>
      </c>
      <c r="T14" s="72"/>
      <c r="U14" s="72">
        <v>28</v>
      </c>
      <c r="V14" s="72">
        <v>151</v>
      </c>
      <c r="W14" s="72">
        <v>12</v>
      </c>
      <c r="X14" s="72">
        <v>32</v>
      </c>
      <c r="Y14" s="72">
        <v>113</v>
      </c>
      <c r="Z14" s="72">
        <v>28</v>
      </c>
      <c r="AA14" s="72">
        <v>12</v>
      </c>
      <c r="AB14" s="72">
        <v>8</v>
      </c>
      <c r="AC14" s="72">
        <v>264</v>
      </c>
      <c r="AD14" s="72">
        <v>28</v>
      </c>
      <c r="AE14" s="72">
        <v>88</v>
      </c>
      <c r="AF14" s="72">
        <v>52</v>
      </c>
      <c r="AG14" s="72"/>
      <c r="AH14" s="108">
        <f t="shared" si="1"/>
        <v>1865</v>
      </c>
      <c r="AJ14" s="69" t="s">
        <v>34</v>
      </c>
      <c r="AK14" s="70" t="s">
        <v>35</v>
      </c>
    </row>
    <row r="15" spans="1:39" x14ac:dyDescent="0.25">
      <c r="A15" s="69" t="s">
        <v>36</v>
      </c>
      <c r="B15" s="70" t="s">
        <v>37</v>
      </c>
      <c r="C15" s="71">
        <v>189.95</v>
      </c>
      <c r="D15" s="72">
        <v>505.45</v>
      </c>
      <c r="E15" s="72">
        <v>1311.8</v>
      </c>
      <c r="F15" s="72">
        <v>1618.24</v>
      </c>
      <c r="G15" s="72">
        <v>692.04</v>
      </c>
      <c r="H15" s="72">
        <v>297.02999999999997</v>
      </c>
      <c r="I15" s="72">
        <v>235.38</v>
      </c>
      <c r="J15" s="72">
        <v>293.74</v>
      </c>
      <c r="K15" s="72">
        <v>553.94000000000005</v>
      </c>
      <c r="L15" s="72">
        <v>599.54999999999995</v>
      </c>
      <c r="M15" s="72">
        <v>479.49</v>
      </c>
      <c r="N15" s="72">
        <v>248.93</v>
      </c>
      <c r="O15" s="72">
        <v>217.62</v>
      </c>
      <c r="P15" s="72">
        <v>251.8</v>
      </c>
      <c r="Q15" s="72">
        <v>357.17</v>
      </c>
      <c r="R15" s="72">
        <v>314.23</v>
      </c>
      <c r="S15" s="72">
        <v>690.5</v>
      </c>
      <c r="T15" s="72">
        <v>517.54999999999995</v>
      </c>
      <c r="U15" s="72">
        <v>326.27</v>
      </c>
      <c r="V15" s="72">
        <v>130.03</v>
      </c>
      <c r="W15" s="72">
        <v>202.5</v>
      </c>
      <c r="X15" s="72">
        <v>271.02999999999997</v>
      </c>
      <c r="Y15" s="72">
        <v>483.32</v>
      </c>
      <c r="Z15" s="72">
        <v>1005.84</v>
      </c>
      <c r="AA15" s="72">
        <v>581.25</v>
      </c>
      <c r="AB15" s="72">
        <v>506.99</v>
      </c>
      <c r="AC15" s="72">
        <v>166.35</v>
      </c>
      <c r="AD15" s="72">
        <v>281.37</v>
      </c>
      <c r="AE15" s="72">
        <v>253.82</v>
      </c>
      <c r="AF15" s="72">
        <v>269.41000000000003</v>
      </c>
      <c r="AG15" s="72"/>
      <c r="AH15" s="108">
        <f t="shared" si="1"/>
        <v>13852.590000000002</v>
      </c>
      <c r="AJ15" s="69" t="s">
        <v>36</v>
      </c>
      <c r="AK15" s="70" t="s">
        <v>37</v>
      </c>
    </row>
    <row r="16" spans="1:39" hidden="1" x14ac:dyDescent="0.25">
      <c r="A16" s="69" t="s">
        <v>201</v>
      </c>
      <c r="B16" s="70" t="s">
        <v>112</v>
      </c>
      <c r="C16" s="71"/>
      <c r="D16" s="72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108">
        <f t="shared" si="1"/>
        <v>0</v>
      </c>
      <c r="AJ16" s="69" t="s">
        <v>111</v>
      </c>
      <c r="AK16" s="70" t="s">
        <v>112</v>
      </c>
    </row>
    <row r="17" spans="1:39" x14ac:dyDescent="0.25">
      <c r="A17" s="69" t="s">
        <v>77</v>
      </c>
      <c r="B17" s="70" t="s">
        <v>197</v>
      </c>
      <c r="C17" s="71">
        <v>68.5</v>
      </c>
      <c r="D17" s="72">
        <v>35</v>
      </c>
      <c r="E17" s="72"/>
      <c r="F17" s="72">
        <v>16</v>
      </c>
      <c r="G17" s="72"/>
      <c r="H17" s="72">
        <v>52.5</v>
      </c>
      <c r="I17" s="72">
        <v>16</v>
      </c>
      <c r="J17" s="72"/>
      <c r="K17" s="72">
        <v>160</v>
      </c>
      <c r="L17" s="72"/>
      <c r="M17" s="72">
        <v>110</v>
      </c>
      <c r="N17" s="72"/>
      <c r="O17" s="72">
        <v>52.5</v>
      </c>
      <c r="P17" s="72">
        <v>100.5</v>
      </c>
      <c r="Q17" s="72">
        <v>225</v>
      </c>
      <c r="R17" s="72">
        <v>175</v>
      </c>
      <c r="S17" s="72"/>
      <c r="T17" s="72"/>
      <c r="U17" s="72">
        <v>16</v>
      </c>
      <c r="V17" s="72">
        <v>350</v>
      </c>
      <c r="W17" s="72"/>
      <c r="X17" s="72"/>
      <c r="Y17" s="72">
        <v>110</v>
      </c>
      <c r="Z17" s="72">
        <v>16</v>
      </c>
      <c r="AA17" s="72"/>
      <c r="AB17" s="72"/>
      <c r="AC17" s="72">
        <v>145</v>
      </c>
      <c r="AD17" s="72">
        <v>249.5</v>
      </c>
      <c r="AE17" s="72"/>
      <c r="AF17" s="72">
        <v>211</v>
      </c>
      <c r="AG17" s="72"/>
      <c r="AH17" s="108">
        <f t="shared" si="1"/>
        <v>2108.5</v>
      </c>
      <c r="AJ17" s="69" t="s">
        <v>77</v>
      </c>
      <c r="AK17" s="70" t="s">
        <v>78</v>
      </c>
      <c r="AL17" s="210"/>
    </row>
    <row r="18" spans="1:39" hidden="1" x14ac:dyDescent="0.25">
      <c r="A18" s="69" t="s">
        <v>38</v>
      </c>
      <c r="B18" s="70" t="s">
        <v>39</v>
      </c>
      <c r="C18" s="71"/>
      <c r="D18" s="72"/>
      <c r="E18" s="72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108">
        <f t="shared" si="1"/>
        <v>0</v>
      </c>
      <c r="AJ18" s="69" t="s">
        <v>38</v>
      </c>
      <c r="AK18" s="70" t="s">
        <v>39</v>
      </c>
    </row>
    <row r="19" spans="1:39" x14ac:dyDescent="0.25">
      <c r="A19" s="370" t="s">
        <v>164</v>
      </c>
      <c r="B19" s="371" t="s">
        <v>165</v>
      </c>
      <c r="C19" s="372"/>
      <c r="D19" s="373"/>
      <c r="E19" s="373"/>
      <c r="F19" s="373"/>
      <c r="G19" s="373"/>
      <c r="H19" s="373"/>
      <c r="I19" s="373"/>
      <c r="J19" s="373"/>
      <c r="K19" s="373"/>
      <c r="L19" s="373"/>
      <c r="M19" s="373"/>
      <c r="N19" s="373"/>
      <c r="O19" s="373">
        <v>135</v>
      </c>
      <c r="P19" s="373"/>
      <c r="Q19" s="373"/>
      <c r="R19" s="373"/>
      <c r="S19" s="373"/>
      <c r="T19" s="373"/>
      <c r="U19" s="373"/>
      <c r="V19" s="373"/>
      <c r="W19" s="373"/>
      <c r="X19" s="373"/>
      <c r="Y19" s="373"/>
      <c r="Z19" s="373"/>
      <c r="AA19" s="373"/>
      <c r="AB19" s="373"/>
      <c r="AC19" s="373"/>
      <c r="AD19" s="373">
        <v>-180</v>
      </c>
      <c r="AE19" s="373"/>
      <c r="AF19" s="373"/>
      <c r="AG19" s="373"/>
      <c r="AH19" s="374">
        <f t="shared" si="1"/>
        <v>-45</v>
      </c>
      <c r="AI19" s="375"/>
      <c r="AJ19" s="370" t="s">
        <v>164</v>
      </c>
      <c r="AK19" s="371" t="s">
        <v>166</v>
      </c>
    </row>
    <row r="20" spans="1:39" x14ac:dyDescent="0.25">
      <c r="A20" s="69" t="s">
        <v>40</v>
      </c>
      <c r="B20" s="70" t="s">
        <v>41</v>
      </c>
      <c r="C20" s="71"/>
      <c r="D20" s="72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108">
        <f t="shared" si="1"/>
        <v>0</v>
      </c>
      <c r="AJ20" s="69" t="s">
        <v>40</v>
      </c>
      <c r="AK20" s="70" t="s">
        <v>41</v>
      </c>
    </row>
    <row r="21" spans="1:39" hidden="1" x14ac:dyDescent="0.25">
      <c r="A21" s="69" t="s">
        <v>42</v>
      </c>
      <c r="B21" s="70" t="s">
        <v>43</v>
      </c>
      <c r="C21" s="71"/>
      <c r="D21" s="72"/>
      <c r="E21" s="72"/>
      <c r="F21" s="72"/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  <c r="W21" s="72"/>
      <c r="X21" s="72"/>
      <c r="Y21" s="72"/>
      <c r="Z21" s="72"/>
      <c r="AA21" s="72"/>
      <c r="AB21" s="72"/>
      <c r="AC21" s="72"/>
      <c r="AD21" s="72"/>
      <c r="AE21" s="72"/>
      <c r="AF21" s="72"/>
      <c r="AG21" s="72"/>
      <c r="AH21" s="108">
        <f t="shared" si="1"/>
        <v>0</v>
      </c>
      <c r="AJ21" s="69" t="s">
        <v>42</v>
      </c>
      <c r="AK21" s="70" t="s">
        <v>43</v>
      </c>
    </row>
    <row r="22" spans="1:39" hidden="1" x14ac:dyDescent="0.25">
      <c r="A22" s="69" t="s">
        <v>44</v>
      </c>
      <c r="B22" s="70" t="s">
        <v>45</v>
      </c>
      <c r="C22" s="71"/>
      <c r="D22" s="72"/>
      <c r="E22" s="72"/>
      <c r="F22" s="72"/>
      <c r="G22" s="72"/>
      <c r="H22" s="72"/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  <c r="W22" s="72"/>
      <c r="X22" s="72"/>
      <c r="Y22" s="72"/>
      <c r="Z22" s="72"/>
      <c r="AA22" s="72"/>
      <c r="AB22" s="72"/>
      <c r="AC22" s="72"/>
      <c r="AD22" s="72"/>
      <c r="AE22" s="72"/>
      <c r="AF22" s="72"/>
      <c r="AG22" s="72"/>
      <c r="AH22" s="108">
        <f t="shared" si="1"/>
        <v>0</v>
      </c>
      <c r="AJ22" s="69" t="s">
        <v>44</v>
      </c>
      <c r="AK22" s="70" t="s">
        <v>45</v>
      </c>
    </row>
    <row r="23" spans="1:39" hidden="1" x14ac:dyDescent="0.25">
      <c r="A23" s="69" t="s">
        <v>46</v>
      </c>
      <c r="B23" s="70" t="s">
        <v>47</v>
      </c>
      <c r="C23" s="71"/>
      <c r="D23" s="7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  <c r="W23" s="72"/>
      <c r="X23" s="72"/>
      <c r="Y23" s="72"/>
      <c r="Z23" s="72"/>
      <c r="AA23" s="72"/>
      <c r="AB23" s="72"/>
      <c r="AC23" s="72"/>
      <c r="AD23" s="72"/>
      <c r="AE23" s="72"/>
      <c r="AF23" s="72"/>
      <c r="AG23" s="72"/>
      <c r="AH23" s="108">
        <f t="shared" si="1"/>
        <v>0</v>
      </c>
      <c r="AJ23" s="69" t="s">
        <v>46</v>
      </c>
      <c r="AK23" s="70" t="s">
        <v>47</v>
      </c>
    </row>
    <row r="24" spans="1:39" hidden="1" x14ac:dyDescent="0.25">
      <c r="A24" s="69" t="s">
        <v>48</v>
      </c>
      <c r="B24" s="70" t="s">
        <v>49</v>
      </c>
      <c r="C24" s="71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  <c r="W24" s="72"/>
      <c r="X24" s="72"/>
      <c r="Y24" s="72"/>
      <c r="Z24" s="72"/>
      <c r="AA24" s="72"/>
      <c r="AB24" s="72"/>
      <c r="AC24" s="72"/>
      <c r="AD24" s="72"/>
      <c r="AE24" s="72"/>
      <c r="AF24" s="72"/>
      <c r="AG24" s="72"/>
      <c r="AH24" s="108">
        <f t="shared" si="1"/>
        <v>0</v>
      </c>
      <c r="AJ24" s="69" t="s">
        <v>48</v>
      </c>
      <c r="AK24" s="70" t="s">
        <v>49</v>
      </c>
      <c r="AM24" s="210"/>
    </row>
    <row r="25" spans="1:39" hidden="1" x14ac:dyDescent="0.25">
      <c r="A25" s="69" t="s">
        <v>50</v>
      </c>
      <c r="B25" s="70" t="s">
        <v>51</v>
      </c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  <c r="AB25" s="74"/>
      <c r="AC25" s="74"/>
      <c r="AD25" s="74"/>
      <c r="AE25" s="74"/>
      <c r="AF25" s="74"/>
      <c r="AG25" s="74"/>
      <c r="AH25" s="108">
        <f t="shared" si="1"/>
        <v>0</v>
      </c>
      <c r="AJ25" s="69" t="s">
        <v>50</v>
      </c>
      <c r="AK25" s="70" t="s">
        <v>51</v>
      </c>
    </row>
    <row r="26" spans="1:39" hidden="1" x14ac:dyDescent="0.25">
      <c r="A26" s="69" t="s">
        <v>52</v>
      </c>
      <c r="B26" s="70" t="s">
        <v>53</v>
      </c>
      <c r="C26" s="73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108">
        <f t="shared" si="1"/>
        <v>0</v>
      </c>
      <c r="AJ26" s="75" t="s">
        <v>52</v>
      </c>
      <c r="AK26" s="76" t="s">
        <v>53</v>
      </c>
    </row>
    <row r="27" spans="1:39" ht="16.5" thickBot="1" x14ac:dyDescent="0.3">
      <c r="A27" s="77" t="s">
        <v>110</v>
      </c>
      <c r="B27" s="78" t="s">
        <v>86</v>
      </c>
      <c r="C27" s="79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 s="80"/>
      <c r="S27" s="80"/>
      <c r="T27" s="80"/>
      <c r="U27" s="80"/>
      <c r="V27" s="80"/>
      <c r="W27" s="80"/>
      <c r="X27" s="80"/>
      <c r="Y27" s="80"/>
      <c r="Z27" s="80"/>
      <c r="AA27" s="80"/>
      <c r="AB27" s="80"/>
      <c r="AC27" s="80"/>
      <c r="AD27" s="80"/>
      <c r="AE27" s="80"/>
      <c r="AF27" s="80">
        <v>42</v>
      </c>
      <c r="AG27" s="80"/>
      <c r="AH27" s="108">
        <f t="shared" si="1"/>
        <v>42</v>
      </c>
      <c r="AJ27" s="81" t="s">
        <v>110</v>
      </c>
      <c r="AK27" s="82" t="s">
        <v>86</v>
      </c>
      <c r="AL27" s="210"/>
    </row>
    <row r="28" spans="1:39" s="60" customFormat="1" ht="13.5" thickBot="1" x14ac:dyDescent="0.25">
      <c r="A28" s="199"/>
      <c r="B28" s="84" t="s">
        <v>64</v>
      </c>
      <c r="C28" s="107">
        <f t="shared" ref="C28:AG28" si="3">SUM(C3:C27)</f>
        <v>4593.5999999999995</v>
      </c>
      <c r="D28" s="107">
        <f t="shared" si="3"/>
        <v>8057.8999999999987</v>
      </c>
      <c r="E28" s="107">
        <f t="shared" si="3"/>
        <v>22139.379999999997</v>
      </c>
      <c r="F28" s="107">
        <f t="shared" si="3"/>
        <v>25148.49</v>
      </c>
      <c r="G28" s="107">
        <f t="shared" si="3"/>
        <v>11042.7</v>
      </c>
      <c r="H28" s="107">
        <f t="shared" si="3"/>
        <v>5529.8499999999995</v>
      </c>
      <c r="I28" s="107">
        <f t="shared" si="3"/>
        <v>4936.8100000000004</v>
      </c>
      <c r="J28" s="107">
        <f t="shared" si="3"/>
        <v>4925.51</v>
      </c>
      <c r="K28" s="107">
        <f t="shared" si="3"/>
        <v>8568.0399999999991</v>
      </c>
      <c r="L28" s="107">
        <f t="shared" si="3"/>
        <v>12795.339999999998</v>
      </c>
      <c r="M28" s="107">
        <f t="shared" si="3"/>
        <v>8504.9</v>
      </c>
      <c r="N28" s="107">
        <f t="shared" si="3"/>
        <v>4960.1400000000003</v>
      </c>
      <c r="O28" s="107">
        <f t="shared" si="3"/>
        <v>4606.4000000000005</v>
      </c>
      <c r="P28" s="107">
        <f t="shared" si="3"/>
        <v>3770.3700000000003</v>
      </c>
      <c r="Q28" s="107">
        <f t="shared" si="3"/>
        <v>6779.29</v>
      </c>
      <c r="R28" s="107">
        <f t="shared" si="3"/>
        <v>6376.51</v>
      </c>
      <c r="S28" s="107">
        <f t="shared" si="3"/>
        <v>11072.289999999999</v>
      </c>
      <c r="T28" s="107">
        <f t="shared" si="3"/>
        <v>7986.1100000000006</v>
      </c>
      <c r="U28" s="107">
        <f t="shared" si="3"/>
        <v>5745.2800000000007</v>
      </c>
      <c r="V28" s="107">
        <f t="shared" si="3"/>
        <v>4272.3600000000006</v>
      </c>
      <c r="W28" s="107">
        <f t="shared" si="3"/>
        <v>3567.16</v>
      </c>
      <c r="X28" s="107">
        <f t="shared" si="3"/>
        <v>3978.33</v>
      </c>
      <c r="Y28" s="107">
        <f t="shared" si="3"/>
        <v>8444.44</v>
      </c>
      <c r="Z28" s="107">
        <f t="shared" si="3"/>
        <v>13312.69</v>
      </c>
      <c r="AA28" s="107">
        <f t="shared" si="3"/>
        <v>10091.32</v>
      </c>
      <c r="AB28" s="107">
        <f t="shared" si="3"/>
        <v>5725.23</v>
      </c>
      <c r="AC28" s="107">
        <f t="shared" si="3"/>
        <v>4974.3700000000008</v>
      </c>
      <c r="AD28" s="107">
        <f t="shared" si="3"/>
        <v>5394.24</v>
      </c>
      <c r="AE28" s="107">
        <f t="shared" si="3"/>
        <v>5410.8</v>
      </c>
      <c r="AF28" s="107">
        <f t="shared" si="3"/>
        <v>6331.92</v>
      </c>
      <c r="AG28" s="107">
        <f t="shared" si="3"/>
        <v>0</v>
      </c>
      <c r="AH28" s="109">
        <f>SUM(C3:AG27)</f>
        <v>239041.76999999996</v>
      </c>
      <c r="AI28" s="85"/>
      <c r="AJ28" s="275"/>
      <c r="AK28" s="276" t="s">
        <v>64</v>
      </c>
    </row>
    <row r="29" spans="1:39" s="60" customFormat="1" ht="13.5" thickBot="1" x14ac:dyDescent="0.25">
      <c r="A29" s="200"/>
      <c r="B29" s="91" t="s">
        <v>105</v>
      </c>
      <c r="C29" s="72">
        <v>4593.6000000000004</v>
      </c>
      <c r="D29" s="72">
        <v>8812.9</v>
      </c>
      <c r="E29" s="72">
        <v>22139.38</v>
      </c>
      <c r="F29" s="72">
        <v>25148.49</v>
      </c>
      <c r="G29" s="72">
        <v>11042.7</v>
      </c>
      <c r="H29" s="72">
        <v>5529.85</v>
      </c>
      <c r="I29" s="72">
        <v>4936.8100000000004</v>
      </c>
      <c r="J29" s="72">
        <v>4925.51</v>
      </c>
      <c r="K29" s="72">
        <v>9003.0400000000009</v>
      </c>
      <c r="L29" s="72">
        <v>12795.34</v>
      </c>
      <c r="M29" s="72">
        <v>8504.9</v>
      </c>
      <c r="N29" s="72">
        <v>4960.1400000000003</v>
      </c>
      <c r="O29" s="72">
        <v>4606.3999999999996</v>
      </c>
      <c r="P29" s="72">
        <v>3770.37</v>
      </c>
      <c r="Q29" s="72">
        <v>6909.29</v>
      </c>
      <c r="R29" s="72">
        <v>6376.51</v>
      </c>
      <c r="S29" s="72">
        <v>11072.29</v>
      </c>
      <c r="T29" s="72">
        <v>7986.11</v>
      </c>
      <c r="U29" s="72">
        <v>5745.28</v>
      </c>
      <c r="V29" s="72">
        <v>4272.3599999999997</v>
      </c>
      <c r="W29" s="72">
        <v>3857.16</v>
      </c>
      <c r="X29" s="72">
        <v>3978.33</v>
      </c>
      <c r="Y29" s="72">
        <v>8444.44</v>
      </c>
      <c r="Z29" s="72">
        <v>13312.69</v>
      </c>
      <c r="AA29" s="72">
        <v>10091.32</v>
      </c>
      <c r="AB29" s="72">
        <v>5725.23</v>
      </c>
      <c r="AC29" s="72">
        <v>4974.37</v>
      </c>
      <c r="AD29" s="72">
        <v>5394.24</v>
      </c>
      <c r="AE29" s="72">
        <v>5410.8</v>
      </c>
      <c r="AF29" s="72">
        <v>6331.92</v>
      </c>
      <c r="AG29" s="72"/>
      <c r="AH29" s="191">
        <f>SUM(C29:AG29)</f>
        <v>240651.76999999996</v>
      </c>
      <c r="AI29" s="85"/>
      <c r="AJ29" s="190"/>
      <c r="AK29" s="190"/>
    </row>
    <row r="30" spans="1:39" s="60" customFormat="1" thickBot="1" x14ac:dyDescent="0.3">
      <c r="A30" s="201"/>
      <c r="B30" s="104" t="s">
        <v>104</v>
      </c>
      <c r="C30" s="133">
        <f t="shared" ref="C30:AH30" si="4">C28-C29</f>
        <v>0</v>
      </c>
      <c r="D30" s="133">
        <f t="shared" si="4"/>
        <v>-755.00000000000091</v>
      </c>
      <c r="E30" s="133">
        <f t="shared" si="4"/>
        <v>0</v>
      </c>
      <c r="F30" s="133">
        <f t="shared" si="4"/>
        <v>0</v>
      </c>
      <c r="G30" s="133">
        <f t="shared" si="4"/>
        <v>0</v>
      </c>
      <c r="H30" s="133">
        <f t="shared" si="4"/>
        <v>0</v>
      </c>
      <c r="I30" s="133">
        <f t="shared" si="4"/>
        <v>0</v>
      </c>
      <c r="J30" s="133">
        <f t="shared" si="4"/>
        <v>0</v>
      </c>
      <c r="K30" s="133">
        <f t="shared" si="4"/>
        <v>-435.00000000000182</v>
      </c>
      <c r="L30" s="133">
        <f t="shared" si="4"/>
        <v>0</v>
      </c>
      <c r="M30" s="133">
        <f t="shared" si="4"/>
        <v>0</v>
      </c>
      <c r="N30" s="133">
        <f t="shared" si="4"/>
        <v>0</v>
      </c>
      <c r="O30" s="133">
        <f t="shared" si="4"/>
        <v>0</v>
      </c>
      <c r="P30" s="133">
        <f t="shared" si="4"/>
        <v>0</v>
      </c>
      <c r="Q30" s="133">
        <f t="shared" si="4"/>
        <v>-130</v>
      </c>
      <c r="R30" s="133">
        <f t="shared" si="4"/>
        <v>0</v>
      </c>
      <c r="S30" s="133">
        <f t="shared" si="4"/>
        <v>0</v>
      </c>
      <c r="T30" s="133">
        <f t="shared" si="4"/>
        <v>0</v>
      </c>
      <c r="U30" s="133">
        <f t="shared" si="4"/>
        <v>0</v>
      </c>
      <c r="V30" s="133">
        <f t="shared" si="4"/>
        <v>0</v>
      </c>
      <c r="W30" s="133">
        <f t="shared" si="4"/>
        <v>-290</v>
      </c>
      <c r="X30" s="133">
        <f t="shared" si="4"/>
        <v>0</v>
      </c>
      <c r="Y30" s="133">
        <f t="shared" si="4"/>
        <v>0</v>
      </c>
      <c r="Z30" s="133">
        <f t="shared" si="4"/>
        <v>0</v>
      </c>
      <c r="AA30" s="133">
        <f t="shared" si="4"/>
        <v>0</v>
      </c>
      <c r="AB30" s="133">
        <f t="shared" si="4"/>
        <v>0</v>
      </c>
      <c r="AC30" s="133">
        <f t="shared" si="4"/>
        <v>0</v>
      </c>
      <c r="AD30" s="133">
        <f t="shared" si="4"/>
        <v>0</v>
      </c>
      <c r="AE30" s="133">
        <f t="shared" si="4"/>
        <v>0</v>
      </c>
      <c r="AF30" s="133">
        <f t="shared" si="4"/>
        <v>0</v>
      </c>
      <c r="AG30" s="133">
        <f t="shared" si="4"/>
        <v>0</v>
      </c>
      <c r="AH30" s="277">
        <f t="shared" si="4"/>
        <v>-1610</v>
      </c>
      <c r="AI30" s="85"/>
      <c r="AJ30" s="501" t="s">
        <v>130</v>
      </c>
      <c r="AK30" s="502"/>
      <c r="AL30" s="502"/>
      <c r="AM30" s="503"/>
    </row>
    <row r="31" spans="1:39" ht="16.5" thickBot="1" x14ac:dyDescent="0.3">
      <c r="A31" s="195"/>
      <c r="B31" s="196"/>
      <c r="C31" s="197"/>
      <c r="D31" s="196"/>
      <c r="E31" s="196"/>
      <c r="F31" s="196"/>
      <c r="G31" s="196"/>
      <c r="H31" s="278"/>
      <c r="I31" s="196"/>
      <c r="J31" s="196"/>
      <c r="K31" s="196"/>
      <c r="L31" s="196"/>
      <c r="M31" s="196"/>
      <c r="N31" s="196"/>
      <c r="O31" s="196"/>
      <c r="P31" s="196"/>
      <c r="Q31" s="196"/>
      <c r="R31" s="263"/>
      <c r="S31" s="196"/>
      <c r="T31" s="196"/>
      <c r="U31" s="196"/>
      <c r="V31" s="196"/>
      <c r="W31" s="196"/>
      <c r="X31" s="196"/>
      <c r="Y31" s="197"/>
      <c r="Z31" s="196"/>
      <c r="AA31" s="196"/>
      <c r="AB31" s="196"/>
      <c r="AC31" s="196"/>
      <c r="AD31" s="196"/>
      <c r="AE31" s="196"/>
      <c r="AF31" s="196"/>
      <c r="AG31" s="196"/>
      <c r="AH31" s="198"/>
      <c r="AJ31" s="282" t="s">
        <v>66</v>
      </c>
      <c r="AK31" s="283" t="s">
        <v>131</v>
      </c>
      <c r="AL31" s="283" t="s">
        <v>123</v>
      </c>
      <c r="AM31" s="284" t="s">
        <v>124</v>
      </c>
    </row>
    <row r="32" spans="1:39" x14ac:dyDescent="0.25">
      <c r="A32" s="89" t="s">
        <v>60</v>
      </c>
      <c r="B32" s="84" t="s">
        <v>54</v>
      </c>
      <c r="C32" s="391">
        <v>693.58</v>
      </c>
      <c r="D32" s="391">
        <v>1063.1300000000001</v>
      </c>
      <c r="E32" s="391">
        <v>2701.09</v>
      </c>
      <c r="F32" s="391">
        <v>3834.97</v>
      </c>
      <c r="G32" s="391">
        <v>1817.74</v>
      </c>
      <c r="H32" s="391">
        <v>1648.22</v>
      </c>
      <c r="I32" s="391">
        <v>1188.82</v>
      </c>
      <c r="J32" s="391">
        <v>1093.4000000000001</v>
      </c>
      <c r="K32" s="391">
        <v>1907.97</v>
      </c>
      <c r="L32" s="391">
        <v>2156.77</v>
      </c>
      <c r="M32" s="391">
        <v>1673.5</v>
      </c>
      <c r="N32" s="391">
        <v>1247.4100000000001</v>
      </c>
      <c r="O32" s="391">
        <v>1143.53</v>
      </c>
      <c r="P32" s="391">
        <v>1080.96</v>
      </c>
      <c r="Q32" s="391">
        <v>1313.98</v>
      </c>
      <c r="R32" s="391">
        <v>1445.63</v>
      </c>
      <c r="S32" s="391">
        <v>2279.31</v>
      </c>
      <c r="T32" s="391">
        <v>1775.83</v>
      </c>
      <c r="U32" s="391">
        <v>1318.71</v>
      </c>
      <c r="V32" s="391">
        <v>788.7</v>
      </c>
      <c r="W32" s="391">
        <v>719.62</v>
      </c>
      <c r="X32" s="391">
        <v>618.66</v>
      </c>
      <c r="Y32" s="391">
        <v>1848.09</v>
      </c>
      <c r="Z32" s="391">
        <v>2296.64</v>
      </c>
      <c r="AA32" s="391">
        <v>2127.7600000000002</v>
      </c>
      <c r="AB32" s="391">
        <v>1200.3</v>
      </c>
      <c r="AC32" s="391">
        <v>1382.91</v>
      </c>
      <c r="AD32" s="391">
        <v>1128.73</v>
      </c>
      <c r="AE32" s="391">
        <v>846.96</v>
      </c>
      <c r="AF32" s="392">
        <v>827.28</v>
      </c>
      <c r="AG32" s="392"/>
      <c r="AH32" s="110">
        <f>SUM(C32:AG32)</f>
        <v>45170.200000000004</v>
      </c>
      <c r="AJ32" s="137" t="s">
        <v>60</v>
      </c>
      <c r="AK32" s="138" t="s">
        <v>125</v>
      </c>
      <c r="AL32" s="386">
        <f>SUM(C32:AE32)</f>
        <v>44342.920000000006</v>
      </c>
      <c r="AM32" s="387">
        <f>SUM(AF32:AG32)</f>
        <v>827.28</v>
      </c>
    </row>
    <row r="33" spans="1:40" x14ac:dyDescent="0.25">
      <c r="A33" s="90" t="s">
        <v>60</v>
      </c>
      <c r="B33" s="91" t="s">
        <v>55</v>
      </c>
      <c r="C33" s="481">
        <v>3900.27</v>
      </c>
      <c r="D33" s="481">
        <v>6724.77</v>
      </c>
      <c r="E33" s="481">
        <v>19389.29</v>
      </c>
      <c r="F33" s="481">
        <v>21313.52</v>
      </c>
      <c r="G33" s="481">
        <v>9204.7099999999991</v>
      </c>
      <c r="H33" s="481">
        <v>3861.53</v>
      </c>
      <c r="I33" s="481">
        <v>3747.99</v>
      </c>
      <c r="J33" s="481">
        <v>3828.51</v>
      </c>
      <c r="K33" s="481">
        <v>5932.89</v>
      </c>
      <c r="L33" s="481">
        <v>10638.57</v>
      </c>
      <c r="M33" s="481">
        <v>6827.4</v>
      </c>
      <c r="N33" s="481">
        <v>3712.73</v>
      </c>
      <c r="O33" s="481">
        <v>3469.87</v>
      </c>
      <c r="P33" s="481">
        <v>2669.81</v>
      </c>
      <c r="Q33" s="481">
        <v>5176.78</v>
      </c>
      <c r="R33" s="481">
        <v>4878.04</v>
      </c>
      <c r="S33" s="481">
        <v>8848.3700000000008</v>
      </c>
      <c r="T33" s="481">
        <v>6182.53</v>
      </c>
      <c r="U33" s="481">
        <v>4430.51</v>
      </c>
      <c r="V33" s="481">
        <v>3530.84</v>
      </c>
      <c r="W33" s="481">
        <v>2847.54</v>
      </c>
      <c r="X33" s="481">
        <v>3360.78</v>
      </c>
      <c r="Y33" s="481">
        <v>6594.74</v>
      </c>
      <c r="Z33" s="481">
        <v>11011.6</v>
      </c>
      <c r="AA33" s="481">
        <v>7897.68</v>
      </c>
      <c r="AB33" s="488">
        <v>4530.8500000000004</v>
      </c>
      <c r="AC33" s="488">
        <v>3604.66</v>
      </c>
      <c r="AD33" s="488">
        <v>4266.51</v>
      </c>
      <c r="AE33" s="488">
        <v>4563.8500000000004</v>
      </c>
      <c r="AF33" s="488">
        <v>5502.56</v>
      </c>
      <c r="AG33" s="390"/>
      <c r="AH33" s="111">
        <f t="shared" ref="AH33:AH37" si="5">SUM(C33:AG33)</f>
        <v>192449.69999999998</v>
      </c>
      <c r="AJ33" s="129" t="s">
        <v>60</v>
      </c>
      <c r="AK33" s="130" t="s">
        <v>207</v>
      </c>
      <c r="AL33" s="290">
        <f>SUM(C33:AA33)-AL44</f>
        <v>164853.47999999995</v>
      </c>
      <c r="AM33" s="291">
        <f>SUM(AB33:AG33)-AM44</f>
        <v>21769.700000000004</v>
      </c>
    </row>
    <row r="34" spans="1:40" x14ac:dyDescent="0.25">
      <c r="A34" s="92" t="s">
        <v>60</v>
      </c>
      <c r="B34" s="93" t="s">
        <v>98</v>
      </c>
      <c r="C34" s="380"/>
      <c r="D34" s="483">
        <v>270</v>
      </c>
      <c r="E34" s="380"/>
      <c r="F34" s="389"/>
      <c r="G34" s="380"/>
      <c r="H34" s="380"/>
      <c r="I34" s="380"/>
      <c r="J34" s="380"/>
      <c r="K34" s="380"/>
      <c r="L34" s="380"/>
      <c r="M34" s="380"/>
      <c r="N34" s="380"/>
      <c r="O34" s="380"/>
      <c r="P34" s="380"/>
      <c r="Q34" s="483">
        <v>290</v>
      </c>
      <c r="R34" s="380"/>
      <c r="S34" s="380"/>
      <c r="T34" s="380"/>
      <c r="U34" s="380"/>
      <c r="V34" s="380"/>
      <c r="W34" s="380"/>
      <c r="X34" s="380"/>
      <c r="Y34" s="381"/>
      <c r="Z34" s="381"/>
      <c r="AA34" s="380"/>
      <c r="AB34" s="380"/>
      <c r="AC34" s="380"/>
      <c r="AD34" s="380"/>
      <c r="AE34" s="380"/>
      <c r="AF34" s="380"/>
      <c r="AG34" s="380"/>
      <c r="AH34" s="111">
        <f t="shared" si="5"/>
        <v>560</v>
      </c>
      <c r="AJ34" s="129" t="s">
        <v>60</v>
      </c>
      <c r="AK34" s="130" t="s">
        <v>126</v>
      </c>
      <c r="AL34" s="290">
        <f>SUM(C34:AD34)</f>
        <v>560</v>
      </c>
      <c r="AM34" s="291">
        <f>SUM(AE34:AG34)</f>
        <v>0</v>
      </c>
    </row>
    <row r="35" spans="1:40" hidden="1" x14ac:dyDescent="0.25">
      <c r="A35" s="92" t="s">
        <v>60</v>
      </c>
      <c r="B35" s="93" t="s">
        <v>99</v>
      </c>
      <c r="C35" s="380"/>
      <c r="D35" s="380"/>
      <c r="E35" s="380"/>
      <c r="F35" s="380"/>
      <c r="G35" s="380"/>
      <c r="H35" s="380"/>
      <c r="I35" s="380"/>
      <c r="J35" s="380"/>
      <c r="K35" s="380"/>
      <c r="L35" s="380"/>
      <c r="M35" s="380"/>
      <c r="N35" s="380"/>
      <c r="O35" s="380"/>
      <c r="P35" s="380"/>
      <c r="Q35" s="380"/>
      <c r="R35" s="380"/>
      <c r="S35" s="380"/>
      <c r="T35" s="380"/>
      <c r="U35" s="380"/>
      <c r="V35" s="380"/>
      <c r="W35" s="380"/>
      <c r="X35" s="380"/>
      <c r="Y35" s="380"/>
      <c r="Z35" s="380"/>
      <c r="AA35" s="380"/>
      <c r="AB35" s="380"/>
      <c r="AC35" s="380"/>
      <c r="AD35" s="380"/>
      <c r="AE35" s="380"/>
      <c r="AF35" s="380"/>
      <c r="AG35" s="380"/>
      <c r="AH35" s="111">
        <f t="shared" si="5"/>
        <v>0</v>
      </c>
      <c r="AJ35" s="129" t="s">
        <v>60</v>
      </c>
      <c r="AK35" s="130" t="s">
        <v>127</v>
      </c>
      <c r="AL35" s="290"/>
      <c r="AM35" s="388"/>
    </row>
    <row r="36" spans="1:40" ht="16.5" customHeight="1" x14ac:dyDescent="0.25">
      <c r="A36" s="92" t="s">
        <v>67</v>
      </c>
      <c r="B36" s="93" t="s">
        <v>68</v>
      </c>
      <c r="C36" s="380"/>
      <c r="D36" s="380"/>
      <c r="E36" s="380"/>
      <c r="F36" s="380"/>
      <c r="G36" s="380"/>
      <c r="H36" s="380"/>
      <c r="I36" s="380"/>
      <c r="J36" s="380"/>
      <c r="K36" s="380">
        <v>720</v>
      </c>
      <c r="L36" s="380"/>
      <c r="M36" s="380"/>
      <c r="N36" s="380"/>
      <c r="O36" s="380"/>
      <c r="P36" s="380"/>
      <c r="Q36" s="380"/>
      <c r="R36" s="380"/>
      <c r="S36" s="380"/>
      <c r="T36" s="380"/>
      <c r="U36" s="380"/>
      <c r="V36" s="380"/>
      <c r="W36" s="380"/>
      <c r="X36" s="380"/>
      <c r="Y36" s="380"/>
      <c r="Z36" s="380"/>
      <c r="AA36" s="380"/>
      <c r="AB36" s="380"/>
      <c r="AC36" s="380"/>
      <c r="AD36" s="380"/>
      <c r="AE36" s="380"/>
      <c r="AF36" s="380"/>
      <c r="AG36" s="380"/>
      <c r="AH36" s="111">
        <f t="shared" si="5"/>
        <v>720</v>
      </c>
      <c r="AJ36" s="129" t="s">
        <v>67</v>
      </c>
      <c r="AK36" s="130" t="s">
        <v>92</v>
      </c>
      <c r="AL36" s="269">
        <f>AH36</f>
        <v>720</v>
      </c>
      <c r="AM36" s="270"/>
      <c r="AN36" s="265" t="s">
        <v>128</v>
      </c>
    </row>
    <row r="37" spans="1:40" ht="16.5" thickBot="1" x14ac:dyDescent="0.3">
      <c r="A37" s="81" t="s">
        <v>110</v>
      </c>
      <c r="B37" s="94" t="s">
        <v>85</v>
      </c>
      <c r="C37" s="382"/>
      <c r="D37" s="382"/>
      <c r="E37" s="382">
        <v>49</v>
      </c>
      <c r="F37" s="382"/>
      <c r="G37" s="382"/>
      <c r="H37" s="382"/>
      <c r="I37" s="382"/>
      <c r="J37" s="382"/>
      <c r="K37" s="382"/>
      <c r="L37" s="382"/>
      <c r="M37" s="382"/>
      <c r="N37" s="382"/>
      <c r="O37" s="382"/>
      <c r="P37" s="382"/>
      <c r="Q37" s="382"/>
      <c r="R37" s="382"/>
      <c r="S37" s="382"/>
      <c r="T37" s="382"/>
      <c r="U37" s="382"/>
      <c r="V37" s="382"/>
      <c r="W37" s="382"/>
      <c r="X37" s="382"/>
      <c r="Y37" s="382"/>
      <c r="Z37" s="382"/>
      <c r="AA37" s="382">
        <v>70</v>
      </c>
      <c r="AB37" s="382"/>
      <c r="AC37" s="382"/>
      <c r="AD37" s="382"/>
      <c r="AE37" s="382"/>
      <c r="AF37" s="382"/>
      <c r="AG37" s="382"/>
      <c r="AH37" s="112">
        <f t="shared" si="5"/>
        <v>119</v>
      </c>
      <c r="AJ37" s="129" t="s">
        <v>110</v>
      </c>
      <c r="AK37" s="130" t="s">
        <v>159</v>
      </c>
      <c r="AL37" s="269">
        <f>AH37</f>
        <v>119</v>
      </c>
      <c r="AM37" s="270"/>
    </row>
    <row r="38" spans="1:40" ht="16.5" thickBot="1" x14ac:dyDescent="0.3">
      <c r="A38" s="202"/>
      <c r="B38" s="193" t="s">
        <v>65</v>
      </c>
      <c r="C38" s="107">
        <f t="shared" ref="C38:AG38" si="6">SUM(C32:C37)</f>
        <v>4593.8500000000004</v>
      </c>
      <c r="D38" s="107">
        <f t="shared" si="6"/>
        <v>8057.9000000000005</v>
      </c>
      <c r="E38" s="107">
        <f t="shared" si="6"/>
        <v>22139.38</v>
      </c>
      <c r="F38" s="107">
        <f t="shared" si="6"/>
        <v>25148.49</v>
      </c>
      <c r="G38" s="107">
        <f t="shared" si="6"/>
        <v>11022.449999999999</v>
      </c>
      <c r="H38" s="107">
        <f t="shared" si="6"/>
        <v>5509.75</v>
      </c>
      <c r="I38" s="107">
        <f t="shared" si="6"/>
        <v>4936.8099999999995</v>
      </c>
      <c r="J38" s="107">
        <f t="shared" si="6"/>
        <v>4921.91</v>
      </c>
      <c r="K38" s="107">
        <f t="shared" si="6"/>
        <v>8560.86</v>
      </c>
      <c r="L38" s="107">
        <f t="shared" si="6"/>
        <v>12795.34</v>
      </c>
      <c r="M38" s="107">
        <f t="shared" si="6"/>
        <v>8500.9</v>
      </c>
      <c r="N38" s="107">
        <f t="shared" si="6"/>
        <v>4960.1400000000003</v>
      </c>
      <c r="O38" s="107">
        <f t="shared" si="6"/>
        <v>4613.3999999999996</v>
      </c>
      <c r="P38" s="107">
        <f>SUM(P32:P37)</f>
        <v>3750.77</v>
      </c>
      <c r="Q38" s="107">
        <f t="shared" si="6"/>
        <v>6780.76</v>
      </c>
      <c r="R38" s="107">
        <f t="shared" si="6"/>
        <v>6323.67</v>
      </c>
      <c r="S38" s="107">
        <f t="shared" si="6"/>
        <v>11127.68</v>
      </c>
      <c r="T38" s="107">
        <f t="shared" si="6"/>
        <v>7958.36</v>
      </c>
      <c r="U38" s="107">
        <f t="shared" si="6"/>
        <v>5749.22</v>
      </c>
      <c r="V38" s="107">
        <f t="shared" si="6"/>
        <v>4319.54</v>
      </c>
      <c r="W38" s="107">
        <f t="shared" si="6"/>
        <v>3567.16</v>
      </c>
      <c r="X38" s="107">
        <f t="shared" si="6"/>
        <v>3979.44</v>
      </c>
      <c r="Y38" s="107">
        <f t="shared" si="6"/>
        <v>8442.83</v>
      </c>
      <c r="Z38" s="107">
        <f t="shared" si="6"/>
        <v>13308.24</v>
      </c>
      <c r="AA38" s="107">
        <f t="shared" si="6"/>
        <v>10095.44</v>
      </c>
      <c r="AB38" s="107">
        <f t="shared" si="6"/>
        <v>5731.1500000000005</v>
      </c>
      <c r="AC38" s="107">
        <f t="shared" si="6"/>
        <v>4987.57</v>
      </c>
      <c r="AD38" s="107">
        <f t="shared" si="6"/>
        <v>5395.24</v>
      </c>
      <c r="AE38" s="107">
        <f t="shared" si="6"/>
        <v>5410.81</v>
      </c>
      <c r="AF38" s="107">
        <f t="shared" si="6"/>
        <v>6329.84</v>
      </c>
      <c r="AG38" s="107">
        <f t="shared" si="6"/>
        <v>0</v>
      </c>
      <c r="AH38" s="110">
        <f>SUM(C38:AG38)</f>
        <v>239018.89999999997</v>
      </c>
      <c r="AI38" s="59"/>
      <c r="AJ38" s="497" t="s">
        <v>76</v>
      </c>
      <c r="AK38" s="498"/>
      <c r="AL38" s="499">
        <f>SUM(AL32:AM37)</f>
        <v>233192.37999999998</v>
      </c>
      <c r="AM38" s="500"/>
      <c r="AN38" s="273">
        <f>AL38-AH38+AL44+AM44</f>
        <v>9.4360075308941305E-12</v>
      </c>
    </row>
    <row r="39" spans="1:40" x14ac:dyDescent="0.25">
      <c r="A39" s="203"/>
      <c r="B39" s="194" t="s">
        <v>105</v>
      </c>
      <c r="C39" s="72">
        <f>C29</f>
        <v>4593.6000000000004</v>
      </c>
      <c r="D39" s="72">
        <f t="shared" ref="D39:AG39" si="7">D29</f>
        <v>8812.9</v>
      </c>
      <c r="E39" s="72">
        <f t="shared" si="7"/>
        <v>22139.38</v>
      </c>
      <c r="F39" s="72">
        <f t="shared" si="7"/>
        <v>25148.49</v>
      </c>
      <c r="G39" s="72">
        <f t="shared" si="7"/>
        <v>11042.7</v>
      </c>
      <c r="H39" s="72">
        <f t="shared" si="7"/>
        <v>5529.85</v>
      </c>
      <c r="I39" s="72">
        <f t="shared" si="7"/>
        <v>4936.8100000000004</v>
      </c>
      <c r="J39" s="72">
        <f t="shared" si="7"/>
        <v>4925.51</v>
      </c>
      <c r="K39" s="72">
        <f t="shared" si="7"/>
        <v>9003.0400000000009</v>
      </c>
      <c r="L39" s="72">
        <f t="shared" si="7"/>
        <v>12795.34</v>
      </c>
      <c r="M39" s="72">
        <f t="shared" si="7"/>
        <v>8504.9</v>
      </c>
      <c r="N39" s="72">
        <f t="shared" si="7"/>
        <v>4960.1400000000003</v>
      </c>
      <c r="O39" s="72">
        <f t="shared" si="7"/>
        <v>4606.3999999999996</v>
      </c>
      <c r="P39" s="72">
        <f t="shared" si="7"/>
        <v>3770.37</v>
      </c>
      <c r="Q39" s="72">
        <f t="shared" si="7"/>
        <v>6909.29</v>
      </c>
      <c r="R39" s="72">
        <f t="shared" si="7"/>
        <v>6376.51</v>
      </c>
      <c r="S39" s="72">
        <f t="shared" si="7"/>
        <v>11072.29</v>
      </c>
      <c r="T39" s="72">
        <f t="shared" si="7"/>
        <v>7986.11</v>
      </c>
      <c r="U39" s="72">
        <f t="shared" si="7"/>
        <v>5745.28</v>
      </c>
      <c r="V39" s="72">
        <f t="shared" si="7"/>
        <v>4272.3599999999997</v>
      </c>
      <c r="W39" s="72">
        <f t="shared" si="7"/>
        <v>3857.16</v>
      </c>
      <c r="X39" s="72">
        <f t="shared" si="7"/>
        <v>3978.33</v>
      </c>
      <c r="Y39" s="72">
        <f t="shared" si="7"/>
        <v>8444.44</v>
      </c>
      <c r="Z39" s="72">
        <f t="shared" si="7"/>
        <v>13312.69</v>
      </c>
      <c r="AA39" s="72">
        <f t="shared" si="7"/>
        <v>10091.32</v>
      </c>
      <c r="AB39" s="72">
        <f t="shared" si="7"/>
        <v>5725.23</v>
      </c>
      <c r="AC39" s="72">
        <f t="shared" si="7"/>
        <v>4974.37</v>
      </c>
      <c r="AD39" s="72">
        <f t="shared" si="7"/>
        <v>5394.24</v>
      </c>
      <c r="AE39" s="72">
        <f t="shared" si="7"/>
        <v>5410.8</v>
      </c>
      <c r="AF39" s="72">
        <f t="shared" si="7"/>
        <v>6331.92</v>
      </c>
      <c r="AG39" s="72">
        <f t="shared" si="7"/>
        <v>0</v>
      </c>
      <c r="AH39" s="111">
        <f t="shared" ref="AH39:AH40" si="8">SUM(C39:AG39)</f>
        <v>240651.76999999996</v>
      </c>
      <c r="AJ39" s="59"/>
      <c r="AK39" s="59"/>
    </row>
    <row r="40" spans="1:40" ht="16.5" thickBot="1" x14ac:dyDescent="0.3">
      <c r="A40" s="204"/>
      <c r="B40" s="104" t="s">
        <v>104</v>
      </c>
      <c r="C40" s="133">
        <f>C38-C39</f>
        <v>0.25</v>
      </c>
      <c r="D40" s="133">
        <f>D38-D39</f>
        <v>-754.99999999999909</v>
      </c>
      <c r="E40" s="133">
        <f>E38-E39</f>
        <v>0</v>
      </c>
      <c r="F40" s="133">
        <f t="shared" ref="F40:AG40" si="9">F38-F39</f>
        <v>0</v>
      </c>
      <c r="G40" s="133">
        <f t="shared" si="9"/>
        <v>-20.250000000001819</v>
      </c>
      <c r="H40" s="133">
        <f t="shared" si="9"/>
        <v>-20.100000000000364</v>
      </c>
      <c r="I40" s="133">
        <f t="shared" si="9"/>
        <v>0</v>
      </c>
      <c r="J40" s="133">
        <f t="shared" si="9"/>
        <v>-3.6000000000003638</v>
      </c>
      <c r="K40" s="133">
        <f t="shared" si="9"/>
        <v>-442.18000000000029</v>
      </c>
      <c r="L40" s="133">
        <f t="shared" si="9"/>
        <v>0</v>
      </c>
      <c r="M40" s="133">
        <f t="shared" si="9"/>
        <v>-4</v>
      </c>
      <c r="N40" s="133">
        <f t="shared" si="9"/>
        <v>0</v>
      </c>
      <c r="O40" s="133">
        <f t="shared" si="9"/>
        <v>7</v>
      </c>
      <c r="P40" s="133">
        <f t="shared" si="9"/>
        <v>-19.599999999999909</v>
      </c>
      <c r="Q40" s="133">
        <f t="shared" si="9"/>
        <v>-128.52999999999975</v>
      </c>
      <c r="R40" s="133">
        <f t="shared" si="9"/>
        <v>-52.840000000000146</v>
      </c>
      <c r="S40" s="133">
        <f t="shared" si="9"/>
        <v>55.389999999999418</v>
      </c>
      <c r="T40" s="133">
        <f t="shared" si="9"/>
        <v>-27.75</v>
      </c>
      <c r="U40" s="133">
        <f t="shared" si="9"/>
        <v>3.9400000000005093</v>
      </c>
      <c r="V40" s="133">
        <f t="shared" si="9"/>
        <v>47.180000000000291</v>
      </c>
      <c r="W40" s="133">
        <f t="shared" si="9"/>
        <v>-290</v>
      </c>
      <c r="X40" s="133">
        <f t="shared" si="9"/>
        <v>1.1100000000001273</v>
      </c>
      <c r="Y40" s="133">
        <f t="shared" si="9"/>
        <v>-1.6100000000005821</v>
      </c>
      <c r="Z40" s="133">
        <f t="shared" si="9"/>
        <v>-4.4500000000007276</v>
      </c>
      <c r="AA40" s="133">
        <f t="shared" si="9"/>
        <v>4.1200000000008004</v>
      </c>
      <c r="AB40" s="133">
        <f t="shared" si="9"/>
        <v>5.9200000000009823</v>
      </c>
      <c r="AC40" s="133">
        <f t="shared" si="9"/>
        <v>13.199999999999818</v>
      </c>
      <c r="AD40" s="133">
        <f t="shared" si="9"/>
        <v>1</v>
      </c>
      <c r="AE40" s="133">
        <f t="shared" si="9"/>
        <v>1.0000000000218279E-2</v>
      </c>
      <c r="AF40" s="133">
        <f t="shared" si="9"/>
        <v>-2.0799999999999272</v>
      </c>
      <c r="AG40" s="133">
        <f t="shared" si="9"/>
        <v>0</v>
      </c>
      <c r="AH40" s="112">
        <f t="shared" si="8"/>
        <v>-1632.8700000000008</v>
      </c>
      <c r="AJ40" s="377">
        <f>AH38-AH39</f>
        <v>-1632.8699999999953</v>
      </c>
      <c r="AK40" s="268"/>
      <c r="AL40" s="99"/>
    </row>
    <row r="41" spans="1:40" ht="16.5" thickBot="1" x14ac:dyDescent="0.3">
      <c r="A41" s="95"/>
      <c r="B41" s="96"/>
      <c r="C41" s="97"/>
      <c r="D41" s="96"/>
      <c r="E41" s="96"/>
      <c r="F41" s="96"/>
      <c r="G41" s="96"/>
      <c r="H41" s="96"/>
      <c r="I41" s="96"/>
      <c r="J41" s="96"/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 s="96"/>
      <c r="AD41" s="96"/>
      <c r="AE41" s="96"/>
      <c r="AF41" s="96"/>
      <c r="AG41" s="96"/>
      <c r="AH41" s="98"/>
      <c r="AJ41" s="268"/>
      <c r="AK41" s="268"/>
      <c r="AL41" s="99"/>
      <c r="AM41" s="190"/>
      <c r="AN41" s="192"/>
    </row>
    <row r="42" spans="1:40" s="99" customFormat="1" ht="16.5" thickBot="1" x14ac:dyDescent="0.3">
      <c r="A42" s="100"/>
      <c r="B42" s="101" t="s">
        <v>56</v>
      </c>
      <c r="C42" s="114">
        <f t="shared" ref="C42:AG42" si="10">SUM(C3:C27)-SUM(C32:C37)</f>
        <v>-0.25000000000090949</v>
      </c>
      <c r="D42" s="114">
        <f t="shared" si="10"/>
        <v>0</v>
      </c>
      <c r="E42" s="114">
        <f t="shared" si="10"/>
        <v>0</v>
      </c>
      <c r="F42" s="114">
        <f t="shared" si="10"/>
        <v>0</v>
      </c>
      <c r="G42" s="114">
        <f t="shared" si="10"/>
        <v>20.250000000001819</v>
      </c>
      <c r="H42" s="114">
        <f t="shared" si="10"/>
        <v>20.099999999999454</v>
      </c>
      <c r="I42" s="114">
        <f t="shared" si="10"/>
        <v>0</v>
      </c>
      <c r="J42" s="114">
        <f t="shared" si="10"/>
        <v>3.6000000000003638</v>
      </c>
      <c r="K42" s="114">
        <f t="shared" si="10"/>
        <v>7.179999999998472</v>
      </c>
      <c r="L42" s="114">
        <f t="shared" si="10"/>
        <v>0</v>
      </c>
      <c r="M42" s="114">
        <f t="shared" si="10"/>
        <v>4</v>
      </c>
      <c r="N42" s="114">
        <f t="shared" si="10"/>
        <v>0</v>
      </c>
      <c r="O42" s="114">
        <f t="shared" si="10"/>
        <v>-6.9999999999990905</v>
      </c>
      <c r="P42" s="114">
        <f t="shared" si="10"/>
        <v>19.600000000000364</v>
      </c>
      <c r="Q42" s="114">
        <f t="shared" si="10"/>
        <v>-1.4700000000002547</v>
      </c>
      <c r="R42" s="114">
        <f t="shared" si="10"/>
        <v>52.840000000000146</v>
      </c>
      <c r="S42" s="114">
        <f t="shared" si="10"/>
        <v>-55.390000000001237</v>
      </c>
      <c r="T42" s="114">
        <f t="shared" si="10"/>
        <v>27.750000000000909</v>
      </c>
      <c r="U42" s="114">
        <f t="shared" si="10"/>
        <v>-3.9399999999995998</v>
      </c>
      <c r="V42" s="114">
        <f t="shared" si="10"/>
        <v>-47.179999999999382</v>
      </c>
      <c r="W42" s="114">
        <f t="shared" si="10"/>
        <v>0</v>
      </c>
      <c r="X42" s="114">
        <f t="shared" si="10"/>
        <v>-1.1100000000001273</v>
      </c>
      <c r="Y42" s="114">
        <f t="shared" si="10"/>
        <v>1.6100000000005821</v>
      </c>
      <c r="Z42" s="114">
        <f t="shared" si="10"/>
        <v>4.4500000000007276</v>
      </c>
      <c r="AA42" s="114">
        <f t="shared" si="10"/>
        <v>-4.1200000000008004</v>
      </c>
      <c r="AB42" s="114">
        <f t="shared" si="10"/>
        <v>-5.9200000000009823</v>
      </c>
      <c r="AC42" s="114">
        <f t="shared" si="10"/>
        <v>-13.199999999998909</v>
      </c>
      <c r="AD42" s="114">
        <f t="shared" si="10"/>
        <v>-1</v>
      </c>
      <c r="AE42" s="114">
        <f t="shared" si="10"/>
        <v>-1.0000000000218279E-2</v>
      </c>
      <c r="AF42" s="114">
        <f t="shared" si="10"/>
        <v>2.0799999999999272</v>
      </c>
      <c r="AG42" s="114">
        <f t="shared" si="10"/>
        <v>0</v>
      </c>
      <c r="AH42" s="115">
        <f>SUM(C42:AG42)</f>
        <v>22.870000000001255</v>
      </c>
      <c r="AI42" s="62"/>
      <c r="AJ42" s="211" t="s">
        <v>32</v>
      </c>
      <c r="AK42" s="212" t="s">
        <v>91</v>
      </c>
      <c r="AL42" s="271">
        <f>AH42</f>
        <v>22.870000000001255</v>
      </c>
      <c r="AM42" s="272"/>
      <c r="AN42" s="274" t="s">
        <v>129</v>
      </c>
    </row>
    <row r="43" spans="1:40" s="102" customFormat="1" ht="16.5" thickBot="1" x14ac:dyDescent="0.3">
      <c r="A43" s="224"/>
      <c r="B43" s="225"/>
      <c r="C43" s="225"/>
      <c r="D43" s="225"/>
      <c r="E43" s="225"/>
      <c r="F43" s="225"/>
      <c r="G43" s="225"/>
      <c r="H43" s="225"/>
      <c r="I43" s="225"/>
      <c r="J43" s="225"/>
      <c r="K43" s="225"/>
      <c r="L43" s="225"/>
      <c r="M43" s="225"/>
      <c r="N43" s="225"/>
      <c r="O43" s="225"/>
      <c r="P43" s="225"/>
      <c r="Q43" s="225"/>
      <c r="R43" s="225"/>
      <c r="S43" s="225"/>
      <c r="T43" s="225"/>
      <c r="U43" s="225"/>
      <c r="V43" s="225"/>
      <c r="W43" s="225"/>
      <c r="X43" s="225"/>
      <c r="Y43" s="225"/>
      <c r="Z43" s="225"/>
      <c r="AA43" s="225"/>
      <c r="AB43" s="225"/>
      <c r="AC43" s="225"/>
      <c r="AD43" s="225"/>
      <c r="AE43" s="225"/>
      <c r="AF43" s="225"/>
      <c r="AG43" s="225"/>
      <c r="AH43" s="226"/>
      <c r="AI43" s="62"/>
      <c r="AJ43" s="224"/>
      <c r="AK43" s="225"/>
      <c r="AL43" s="99"/>
      <c r="AM43" s="102">
        <f>AL38+AL42+AM42+AL44+AM44</f>
        <v>239041.77</v>
      </c>
      <c r="AN43" s="102">
        <f>AM43-AH28</f>
        <v>0</v>
      </c>
    </row>
    <row r="44" spans="1:40" s="99" customFormat="1" ht="16.5" thickBot="1" x14ac:dyDescent="0.3">
      <c r="A44" s="211" t="s">
        <v>203</v>
      </c>
      <c r="B44" s="101" t="s">
        <v>202</v>
      </c>
      <c r="C44" s="482">
        <v>117.64</v>
      </c>
      <c r="D44" s="482">
        <v>202.4</v>
      </c>
      <c r="E44" s="482">
        <v>581.72</v>
      </c>
      <c r="F44" s="482">
        <v>644.44000000000005</v>
      </c>
      <c r="G44" s="482">
        <v>278.79000000000002</v>
      </c>
      <c r="H44" s="482">
        <v>115.86</v>
      </c>
      <c r="I44" s="482">
        <v>112.44</v>
      </c>
      <c r="J44" s="482">
        <v>115.96</v>
      </c>
      <c r="K44" s="482">
        <v>179.27</v>
      </c>
      <c r="L44" s="482">
        <v>320.64</v>
      </c>
      <c r="M44" s="482">
        <v>207.91</v>
      </c>
      <c r="N44" s="482">
        <v>111.38</v>
      </c>
      <c r="O44" s="482">
        <v>107.11</v>
      </c>
      <c r="P44" s="482">
        <v>80.11</v>
      </c>
      <c r="Q44" s="482">
        <v>155.79</v>
      </c>
      <c r="R44" s="482">
        <v>146.37</v>
      </c>
      <c r="S44" s="482">
        <v>265.95</v>
      </c>
      <c r="T44" s="482">
        <v>187.24</v>
      </c>
      <c r="U44" s="482">
        <v>132.93</v>
      </c>
      <c r="V44" s="482">
        <v>110.8</v>
      </c>
      <c r="W44" s="482">
        <v>85.43</v>
      </c>
      <c r="X44" s="482">
        <v>100.82</v>
      </c>
      <c r="Y44" s="482">
        <v>198.79</v>
      </c>
      <c r="Z44" s="482">
        <v>331.05</v>
      </c>
      <c r="AA44" s="482">
        <v>236.95</v>
      </c>
      <c r="AB44" s="489">
        <v>135.94999999999999</v>
      </c>
      <c r="AC44" s="489">
        <v>109.41</v>
      </c>
      <c r="AD44" s="489">
        <v>135.93</v>
      </c>
      <c r="AE44" s="489">
        <v>136.91999999999999</v>
      </c>
      <c r="AF44" s="489">
        <v>180.52</v>
      </c>
      <c r="AG44" s="281"/>
      <c r="AH44" s="115">
        <f t="shared" ref="AH44" si="11">SUM(C44:AG44)</f>
        <v>5826.5199999999995</v>
      </c>
      <c r="AI44" s="62"/>
      <c r="AJ44" s="211" t="s">
        <v>203</v>
      </c>
      <c r="AK44" s="212" t="s">
        <v>204</v>
      </c>
      <c r="AL44" s="271">
        <f>SUM(C44:AA44)</f>
        <v>5127.7899999999991</v>
      </c>
      <c r="AM44" s="272">
        <f>SUM(AB44:AG44)</f>
        <v>698.7299999999999</v>
      </c>
      <c r="AN44" s="274"/>
    </row>
    <row r="45" spans="1:40" s="102" customFormat="1" ht="16.5" thickBot="1" x14ac:dyDescent="0.3">
      <c r="A45" s="224"/>
      <c r="B45" s="225"/>
      <c r="C45" s="225"/>
      <c r="D45" s="225"/>
      <c r="E45" s="225"/>
      <c r="F45" s="225"/>
      <c r="G45" s="225"/>
      <c r="H45" s="225"/>
      <c r="I45" s="225"/>
      <c r="J45" s="225"/>
      <c r="K45" s="225"/>
      <c r="L45" s="225"/>
      <c r="M45" s="225"/>
      <c r="N45" s="225"/>
      <c r="O45" s="225"/>
      <c r="P45" s="225"/>
      <c r="Q45" s="225"/>
      <c r="R45" s="225"/>
      <c r="S45" s="225"/>
      <c r="T45" s="225"/>
      <c r="U45" s="225"/>
      <c r="V45" s="225"/>
      <c r="W45" s="225"/>
      <c r="X45" s="225"/>
      <c r="Y45" s="225"/>
      <c r="Z45" s="225"/>
      <c r="AA45" s="225"/>
      <c r="AB45" s="225"/>
      <c r="AC45" s="225"/>
      <c r="AD45" s="225"/>
      <c r="AE45" s="225"/>
      <c r="AF45" s="225"/>
      <c r="AG45" s="225"/>
      <c r="AH45" s="226"/>
      <c r="AI45" s="62"/>
      <c r="AJ45" s="224"/>
      <c r="AK45" s="225"/>
      <c r="AL45" s="99"/>
    </row>
    <row r="46" spans="1:40" x14ac:dyDescent="0.25">
      <c r="A46" s="126"/>
      <c r="B46" s="213" t="s">
        <v>57</v>
      </c>
      <c r="C46" s="84">
        <v>252</v>
      </c>
      <c r="D46" s="84">
        <v>410</v>
      </c>
      <c r="E46" s="84">
        <v>1201</v>
      </c>
      <c r="F46" s="84">
        <v>1356</v>
      </c>
      <c r="G46" s="84">
        <v>485</v>
      </c>
      <c r="H46" s="84">
        <v>245</v>
      </c>
      <c r="I46" s="84">
        <v>247</v>
      </c>
      <c r="J46" s="84">
        <v>266</v>
      </c>
      <c r="K46" s="84">
        <v>391</v>
      </c>
      <c r="L46" s="84">
        <v>678</v>
      </c>
      <c r="M46" s="84">
        <v>435</v>
      </c>
      <c r="N46" s="84">
        <v>277</v>
      </c>
      <c r="O46" s="84">
        <v>235</v>
      </c>
      <c r="P46" s="84">
        <v>220</v>
      </c>
      <c r="Q46" s="84">
        <v>348</v>
      </c>
      <c r="R46" s="84">
        <v>321</v>
      </c>
      <c r="S46" s="84">
        <v>644</v>
      </c>
      <c r="T46" s="84">
        <v>449</v>
      </c>
      <c r="U46" s="84">
        <v>339</v>
      </c>
      <c r="V46" s="84">
        <v>175</v>
      </c>
      <c r="W46" s="84">
        <v>228</v>
      </c>
      <c r="X46" s="84">
        <v>223</v>
      </c>
      <c r="Y46" s="84">
        <v>406</v>
      </c>
      <c r="Z46" s="84">
        <v>717</v>
      </c>
      <c r="AA46" s="84">
        <v>493</v>
      </c>
      <c r="AB46" s="84">
        <v>256</v>
      </c>
      <c r="AC46" s="84">
        <v>240</v>
      </c>
      <c r="AD46" s="84">
        <v>244</v>
      </c>
      <c r="AE46" s="84">
        <f>3018-2739</f>
        <v>279</v>
      </c>
      <c r="AF46" s="84">
        <v>295</v>
      </c>
      <c r="AG46" s="84"/>
      <c r="AH46" s="103">
        <f>SUM(C46:AG46)</f>
        <v>12355</v>
      </c>
      <c r="AJ46" s="126">
        <f>AH46</f>
        <v>12355</v>
      </c>
      <c r="AK46" s="218" t="s">
        <v>57</v>
      </c>
      <c r="AL46" s="102"/>
      <c r="AM46" s="102"/>
      <c r="AN46" s="102"/>
    </row>
    <row r="47" spans="1:40" ht="16.5" thickBot="1" x14ac:dyDescent="0.3">
      <c r="A47" s="135"/>
      <c r="B47" s="214" t="s">
        <v>58</v>
      </c>
      <c r="C47" s="94">
        <v>77</v>
      </c>
      <c r="D47" s="94">
        <v>93</v>
      </c>
      <c r="E47" s="94">
        <v>128</v>
      </c>
      <c r="F47" s="94">
        <v>143</v>
      </c>
      <c r="G47" s="94">
        <v>94</v>
      </c>
      <c r="H47" s="94">
        <v>70</v>
      </c>
      <c r="I47" s="94">
        <v>79</v>
      </c>
      <c r="J47" s="94">
        <v>53</v>
      </c>
      <c r="K47" s="94">
        <v>86</v>
      </c>
      <c r="L47" s="94">
        <v>100</v>
      </c>
      <c r="M47" s="94">
        <v>100</v>
      </c>
      <c r="N47" s="94">
        <v>64</v>
      </c>
      <c r="O47" s="94">
        <v>38</v>
      </c>
      <c r="P47" s="94">
        <v>40</v>
      </c>
      <c r="Q47" s="94">
        <v>51</v>
      </c>
      <c r="R47" s="94">
        <v>74</v>
      </c>
      <c r="S47" s="94">
        <v>107</v>
      </c>
      <c r="T47" s="94">
        <v>126</v>
      </c>
      <c r="U47" s="94">
        <v>61</v>
      </c>
      <c r="V47" s="94">
        <v>56</v>
      </c>
      <c r="W47" s="94">
        <v>48</v>
      </c>
      <c r="X47" s="94">
        <v>55</v>
      </c>
      <c r="Y47" s="94">
        <v>101</v>
      </c>
      <c r="Z47" s="94">
        <v>104</v>
      </c>
      <c r="AA47" s="94">
        <v>82</v>
      </c>
      <c r="AB47" s="94">
        <v>57</v>
      </c>
      <c r="AC47" s="94">
        <v>45</v>
      </c>
      <c r="AD47" s="94">
        <v>52</v>
      </c>
      <c r="AE47" s="94">
        <v>42</v>
      </c>
      <c r="AF47" s="94">
        <v>71</v>
      </c>
      <c r="AG47" s="94"/>
      <c r="AH47" s="105">
        <f>SUM(C47:AG47)</f>
        <v>2297</v>
      </c>
      <c r="AJ47" s="135">
        <f>AH47</f>
        <v>2297</v>
      </c>
      <c r="AK47" s="219" t="s">
        <v>58</v>
      </c>
    </row>
    <row r="48" spans="1:40" ht="16.5" thickBot="1" x14ac:dyDescent="0.3">
      <c r="A48" s="223"/>
      <c r="B48" s="227"/>
      <c r="C48" s="96"/>
      <c r="D48" s="96"/>
      <c r="E48" s="96"/>
      <c r="F48" s="96"/>
      <c r="G48" s="96"/>
      <c r="H48" s="96"/>
      <c r="I48" s="96"/>
      <c r="J48" s="96"/>
      <c r="K48" s="96"/>
      <c r="L48" s="96"/>
      <c r="M48" s="96"/>
      <c r="N48" s="96"/>
      <c r="O48" s="96"/>
      <c r="P48" s="96"/>
      <c r="Q48" s="96"/>
      <c r="R48" s="96"/>
      <c r="S48" s="96"/>
      <c r="T48" s="96"/>
      <c r="U48" s="96"/>
      <c r="V48" s="96"/>
      <c r="W48" s="96"/>
      <c r="X48" s="96"/>
      <c r="Y48" s="96"/>
      <c r="Z48" s="96"/>
      <c r="AA48" s="96"/>
      <c r="AB48" s="96"/>
      <c r="AC48" s="96"/>
      <c r="AD48" s="96"/>
      <c r="AE48" s="96"/>
      <c r="AF48" s="96"/>
      <c r="AG48" s="96"/>
      <c r="AH48" s="98"/>
      <c r="AJ48" s="223"/>
      <c r="AK48" s="227"/>
    </row>
    <row r="49" spans="1:37" ht="16.5" thickBot="1" x14ac:dyDescent="0.3">
      <c r="A49" s="211"/>
      <c r="B49" s="212" t="s">
        <v>107</v>
      </c>
      <c r="C49" s="212">
        <f>C46+C47</f>
        <v>329</v>
      </c>
      <c r="D49" s="212">
        <f t="shared" ref="D49:AF49" si="12">D46+D47</f>
        <v>503</v>
      </c>
      <c r="E49" s="212">
        <f t="shared" si="12"/>
        <v>1329</v>
      </c>
      <c r="F49" s="212">
        <f t="shared" si="12"/>
        <v>1499</v>
      </c>
      <c r="G49" s="212">
        <f t="shared" si="12"/>
        <v>579</v>
      </c>
      <c r="H49" s="212">
        <f t="shared" si="12"/>
        <v>315</v>
      </c>
      <c r="I49" s="212">
        <f t="shared" si="12"/>
        <v>326</v>
      </c>
      <c r="J49" s="212">
        <f t="shared" si="12"/>
        <v>319</v>
      </c>
      <c r="K49" s="212">
        <f t="shared" si="12"/>
        <v>477</v>
      </c>
      <c r="L49" s="212">
        <f t="shared" si="12"/>
        <v>778</v>
      </c>
      <c r="M49" s="212">
        <f t="shared" si="12"/>
        <v>535</v>
      </c>
      <c r="N49" s="212">
        <f t="shared" si="12"/>
        <v>341</v>
      </c>
      <c r="O49" s="212">
        <f t="shared" si="12"/>
        <v>273</v>
      </c>
      <c r="P49" s="212">
        <f t="shared" si="12"/>
        <v>260</v>
      </c>
      <c r="Q49" s="212">
        <f t="shared" si="12"/>
        <v>399</v>
      </c>
      <c r="R49" s="212">
        <f t="shared" si="12"/>
        <v>395</v>
      </c>
      <c r="S49" s="212">
        <f t="shared" si="12"/>
        <v>751</v>
      </c>
      <c r="T49" s="212">
        <f t="shared" si="12"/>
        <v>575</v>
      </c>
      <c r="U49" s="212">
        <f t="shared" si="12"/>
        <v>400</v>
      </c>
      <c r="V49" s="212">
        <f t="shared" si="12"/>
        <v>231</v>
      </c>
      <c r="W49" s="212">
        <f t="shared" si="12"/>
        <v>276</v>
      </c>
      <c r="X49" s="212">
        <f t="shared" si="12"/>
        <v>278</v>
      </c>
      <c r="Y49" s="212">
        <f t="shared" si="12"/>
        <v>507</v>
      </c>
      <c r="Z49" s="212">
        <f t="shared" si="12"/>
        <v>821</v>
      </c>
      <c r="AA49" s="212">
        <f t="shared" si="12"/>
        <v>575</v>
      </c>
      <c r="AB49" s="212">
        <f t="shared" si="12"/>
        <v>313</v>
      </c>
      <c r="AC49" s="212">
        <f t="shared" si="12"/>
        <v>285</v>
      </c>
      <c r="AD49" s="212">
        <f t="shared" si="12"/>
        <v>296</v>
      </c>
      <c r="AE49" s="212">
        <f t="shared" si="12"/>
        <v>321</v>
      </c>
      <c r="AF49" s="212">
        <f t="shared" si="12"/>
        <v>366</v>
      </c>
      <c r="AG49" s="281">
        <f t="shared" ref="AG49" si="13">AG46+AG47</f>
        <v>0</v>
      </c>
      <c r="AH49" s="280">
        <f>SUM(C49:AG49)</f>
        <v>14652</v>
      </c>
      <c r="AJ49" s="211">
        <f>AH49</f>
        <v>14652</v>
      </c>
      <c r="AK49" s="220" t="s">
        <v>107</v>
      </c>
    </row>
    <row r="50" spans="1:37" ht="16.5" thickBot="1" x14ac:dyDescent="0.3">
      <c r="A50" s="224"/>
      <c r="B50" s="225"/>
      <c r="C50" s="225"/>
      <c r="D50" s="225"/>
      <c r="E50" s="225"/>
      <c r="F50" s="225"/>
      <c r="G50" s="225"/>
      <c r="H50" s="225"/>
      <c r="I50" s="225"/>
      <c r="J50" s="225"/>
      <c r="K50" s="225"/>
      <c r="L50" s="225"/>
      <c r="M50" s="225"/>
      <c r="N50" s="225"/>
      <c r="O50" s="225"/>
      <c r="P50" s="225"/>
      <c r="Q50" s="225"/>
      <c r="R50" s="225"/>
      <c r="S50" s="225"/>
      <c r="T50" s="225"/>
      <c r="U50" s="225"/>
      <c r="V50" s="225"/>
      <c r="W50" s="225"/>
      <c r="X50" s="225"/>
      <c r="Y50" s="225"/>
      <c r="Z50" s="225"/>
      <c r="AA50" s="225"/>
      <c r="AB50" s="225"/>
      <c r="AC50" s="225"/>
      <c r="AD50" s="225"/>
      <c r="AE50" s="225"/>
      <c r="AF50" s="225"/>
      <c r="AG50" s="225"/>
      <c r="AH50" s="226"/>
      <c r="AJ50" s="225"/>
      <c r="AK50" s="225"/>
    </row>
    <row r="51" spans="1:37" ht="16.5" thickBot="1" x14ac:dyDescent="0.3">
      <c r="A51" s="211"/>
      <c r="B51" s="212" t="s">
        <v>106</v>
      </c>
      <c r="C51" s="215">
        <f>IF(C49&lt;=1,0,IF(C49&gt;=0,(SUM(C4+C6)/C49)))</f>
        <v>11.099088145896657</v>
      </c>
      <c r="D51" s="215">
        <f t="shared" ref="D51:AG51" si="14">IF(D49&lt;=1,0,IF(D49&gt;=0,(SUM(D4+D6)/D49)))</f>
        <v>11.088270377733597</v>
      </c>
      <c r="E51" s="215">
        <f t="shared" si="14"/>
        <v>13.387960872836718</v>
      </c>
      <c r="F51" s="215">
        <f t="shared" si="14"/>
        <v>13.127951967978651</v>
      </c>
      <c r="G51" s="215">
        <f t="shared" si="14"/>
        <v>14.170293609671848</v>
      </c>
      <c r="H51" s="215">
        <f t="shared" si="14"/>
        <v>12.693968253968254</v>
      </c>
      <c r="I51" s="215">
        <f t="shared" si="14"/>
        <v>11.731288343558283</v>
      </c>
      <c r="J51" s="215">
        <f t="shared" si="14"/>
        <v>12.184952978056426</v>
      </c>
      <c r="K51" s="215">
        <f t="shared" si="14"/>
        <v>13.10566037735849</v>
      </c>
      <c r="L51" s="215">
        <f t="shared" si="14"/>
        <v>13.350128534704369</v>
      </c>
      <c r="M51" s="215">
        <f t="shared" si="14"/>
        <v>11.41663551401869</v>
      </c>
      <c r="N51" s="215">
        <f t="shared" si="14"/>
        <v>11.927272727272726</v>
      </c>
      <c r="O51" s="215">
        <f t="shared" si="14"/>
        <v>12.157509157509157</v>
      </c>
      <c r="P51" s="215">
        <f t="shared" si="14"/>
        <v>12.295384615384616</v>
      </c>
      <c r="Q51" s="215">
        <f t="shared" si="14"/>
        <v>12.504260651629073</v>
      </c>
      <c r="R51" s="215">
        <f t="shared" si="14"/>
        <v>12.252151898734178</v>
      </c>
      <c r="S51" s="215">
        <f t="shared" si="14"/>
        <v>12.003195739014647</v>
      </c>
      <c r="T51" s="215">
        <f t="shared" si="14"/>
        <v>11.512347826086957</v>
      </c>
      <c r="U51" s="215">
        <f t="shared" si="14"/>
        <v>10.0985</v>
      </c>
      <c r="V51" s="215">
        <f t="shared" si="14"/>
        <v>11.38008658008658</v>
      </c>
      <c r="W51" s="215">
        <f t="shared" si="14"/>
        <v>10.768840579710144</v>
      </c>
      <c r="X51" s="215">
        <f t="shared" si="14"/>
        <v>12.264028776978417</v>
      </c>
      <c r="Y51" s="215">
        <f t="shared" si="14"/>
        <v>12.096252465483236</v>
      </c>
      <c r="Z51" s="215">
        <f t="shared" si="14"/>
        <v>13.378197320341048</v>
      </c>
      <c r="AA51" s="215">
        <f t="shared" si="14"/>
        <v>13.571478260869565</v>
      </c>
      <c r="AB51" s="215">
        <f t="shared" si="14"/>
        <v>12.76038338658147</v>
      </c>
      <c r="AC51" s="215">
        <f t="shared" si="14"/>
        <v>13.692631578947369</v>
      </c>
      <c r="AD51" s="215">
        <f t="shared" si="14"/>
        <v>12.355405405405405</v>
      </c>
      <c r="AE51" s="215">
        <f t="shared" si="14"/>
        <v>14.593769470404986</v>
      </c>
      <c r="AF51" s="215">
        <f t="shared" si="14"/>
        <v>11.770491803278688</v>
      </c>
      <c r="AG51" s="215">
        <f t="shared" si="14"/>
        <v>0</v>
      </c>
      <c r="AH51" s="280">
        <f>IFERROR(AVERAGEIF(C51:AG51, "&lt;&gt;0"),)</f>
        <v>12.35794624065001</v>
      </c>
      <c r="AJ51" s="221">
        <f>AH51</f>
        <v>12.35794624065001</v>
      </c>
      <c r="AK51" s="222" t="s">
        <v>108</v>
      </c>
    </row>
    <row r="52" spans="1:37" ht="16.5" thickBot="1" x14ac:dyDescent="0.3"/>
    <row r="53" spans="1:37" ht="16.5" thickBot="1" x14ac:dyDescent="0.3">
      <c r="A53" s="211"/>
      <c r="B53" s="212" t="s">
        <v>120</v>
      </c>
      <c r="C53" s="242">
        <f>IF(C46&lt;=1,0,IF(C46&gt;=0,(SUM(C4+C6)/C46)))</f>
        <v>14.490476190476191</v>
      </c>
      <c r="D53" s="242">
        <f t="shared" ref="D53:AF53" si="15">IF(D46&lt;=1,0,IF(D46&gt;=0,(SUM(D4+D6)/D46)))</f>
        <v>13.60341463414634</v>
      </c>
      <c r="E53" s="242">
        <f t="shared" si="15"/>
        <v>14.81482098251457</v>
      </c>
      <c r="F53" s="242">
        <f t="shared" si="15"/>
        <v>14.512389380530973</v>
      </c>
      <c r="G53" s="242">
        <f t="shared" si="15"/>
        <v>16.916701030927836</v>
      </c>
      <c r="H53" s="242">
        <f t="shared" si="15"/>
        <v>16.320816326530611</v>
      </c>
      <c r="I53" s="242">
        <f t="shared" si="15"/>
        <v>15.483400809716599</v>
      </c>
      <c r="J53" s="242">
        <f t="shared" si="15"/>
        <v>14.612781954887218</v>
      </c>
      <c r="K53" s="242">
        <f t="shared" si="15"/>
        <v>15.988235294117645</v>
      </c>
      <c r="L53" s="242">
        <f t="shared" si="15"/>
        <v>15.319174041297934</v>
      </c>
      <c r="M53" s="242">
        <f t="shared" si="15"/>
        <v>14.041149425287356</v>
      </c>
      <c r="N53" s="242">
        <f t="shared" si="15"/>
        <v>14.683032490974728</v>
      </c>
      <c r="O53" s="242">
        <f t="shared" si="15"/>
        <v>14.12340425531915</v>
      </c>
      <c r="P53" s="242">
        <f t="shared" si="15"/>
        <v>14.530909090909091</v>
      </c>
      <c r="Q53" s="242">
        <f t="shared" si="15"/>
        <v>14.336781609195402</v>
      </c>
      <c r="R53" s="242">
        <f t="shared" si="15"/>
        <v>15.076635514018692</v>
      </c>
      <c r="S53" s="242">
        <f t="shared" si="15"/>
        <v>13.997515527950309</v>
      </c>
      <c r="T53" s="242">
        <f t="shared" si="15"/>
        <v>14.742984409799556</v>
      </c>
      <c r="U53" s="242">
        <f t="shared" si="15"/>
        <v>11.915634218289085</v>
      </c>
      <c r="V53" s="242">
        <f t="shared" si="15"/>
        <v>15.021714285714287</v>
      </c>
      <c r="W53" s="242">
        <f t="shared" si="15"/>
        <v>13.035964912280701</v>
      </c>
      <c r="X53" s="242">
        <f t="shared" si="15"/>
        <v>15.288789237668162</v>
      </c>
      <c r="Y53" s="242">
        <f t="shared" si="15"/>
        <v>15.105418719211823</v>
      </c>
      <c r="Z53" s="242">
        <f t="shared" si="15"/>
        <v>15.318688981868899</v>
      </c>
      <c r="AA53" s="242">
        <f t="shared" si="15"/>
        <v>15.828803245436106</v>
      </c>
      <c r="AB53" s="242">
        <f t="shared" si="15"/>
        <v>15.6015625</v>
      </c>
      <c r="AC53" s="242">
        <f t="shared" si="15"/>
        <v>16.260000000000002</v>
      </c>
      <c r="AD53" s="242">
        <f t="shared" si="15"/>
        <v>14.988524590163934</v>
      </c>
      <c r="AE53" s="242">
        <f t="shared" si="15"/>
        <v>16.790681003584229</v>
      </c>
      <c r="AF53" s="242">
        <f t="shared" si="15"/>
        <v>14.603389830508474</v>
      </c>
      <c r="AG53" s="242">
        <f>IF(AG46&lt;=1,0,IF(AG46&gt;=0,(SUM(AG4+AG6+(#REF!*0.5))/AG46)))</f>
        <v>0</v>
      </c>
      <c r="AH53" s="279">
        <f>IFERROR(AVERAGEIF(C53:AG53, "&lt;&gt;0"),)</f>
        <v>14.911793149777528</v>
      </c>
      <c r="AI53" s="243"/>
      <c r="AJ53" s="244">
        <f>AH53</f>
        <v>14.911793149777528</v>
      </c>
      <c r="AK53" s="222" t="s">
        <v>121</v>
      </c>
    </row>
    <row r="54" spans="1:37" ht="16.5" thickBot="1" x14ac:dyDescent="0.3"/>
    <row r="55" spans="1:37" ht="16.5" thickBot="1" x14ac:dyDescent="0.3">
      <c r="A55" s="295"/>
      <c r="B55" s="296" t="s">
        <v>133</v>
      </c>
      <c r="C55" s="297"/>
      <c r="D55" s="297"/>
      <c r="E55" s="297"/>
      <c r="F55" s="297"/>
      <c r="G55" s="297"/>
      <c r="H55" s="297"/>
      <c r="I55" s="297"/>
      <c r="J55" s="297"/>
      <c r="K55" s="297"/>
      <c r="L55" s="297"/>
      <c r="M55" s="297"/>
      <c r="N55" s="297"/>
      <c r="O55" s="297"/>
      <c r="P55" s="297"/>
      <c r="Q55" s="297"/>
      <c r="R55" s="297"/>
      <c r="S55" s="297"/>
      <c r="T55" s="297"/>
      <c r="U55" s="297"/>
      <c r="V55" s="297"/>
      <c r="W55" s="297"/>
      <c r="X55" s="297"/>
      <c r="Y55" s="297"/>
      <c r="Z55" s="297"/>
      <c r="AA55" s="297"/>
      <c r="AB55" s="297"/>
      <c r="AC55" s="297"/>
      <c r="AD55" s="297"/>
      <c r="AE55" s="297"/>
      <c r="AF55" s="297"/>
      <c r="AG55" s="297"/>
      <c r="AH55" s="298" t="s">
        <v>134</v>
      </c>
      <c r="AJ55" s="299" t="s">
        <v>134</v>
      </c>
      <c r="AK55" s="300" t="s">
        <v>131</v>
      </c>
    </row>
    <row r="56" spans="1:37" x14ac:dyDescent="0.25">
      <c r="A56" s="90"/>
      <c r="B56" s="301" t="s">
        <v>135</v>
      </c>
      <c r="C56" s="91">
        <v>96</v>
      </c>
      <c r="D56" s="91">
        <v>97</v>
      </c>
      <c r="E56" s="91">
        <v>97</v>
      </c>
      <c r="F56" s="91">
        <v>98</v>
      </c>
      <c r="G56" s="91">
        <v>98</v>
      </c>
      <c r="H56" s="91">
        <v>97</v>
      </c>
      <c r="I56" s="91">
        <v>97</v>
      </c>
      <c r="J56" s="91">
        <v>98</v>
      </c>
      <c r="K56" s="91">
        <v>98</v>
      </c>
      <c r="L56" s="91">
        <v>97</v>
      </c>
      <c r="M56" s="91">
        <v>97</v>
      </c>
      <c r="N56" s="91">
        <v>97</v>
      </c>
      <c r="O56" s="91">
        <v>103</v>
      </c>
      <c r="P56" s="91">
        <v>97</v>
      </c>
      <c r="Q56" s="91">
        <v>98</v>
      </c>
      <c r="R56" s="91">
        <v>98</v>
      </c>
      <c r="S56" s="91">
        <v>97</v>
      </c>
      <c r="T56" s="91">
        <v>98</v>
      </c>
      <c r="U56" s="91">
        <v>97</v>
      </c>
      <c r="V56" s="91">
        <v>98</v>
      </c>
      <c r="W56" s="91">
        <v>98</v>
      </c>
      <c r="X56" s="91">
        <v>98</v>
      </c>
      <c r="Y56" s="91">
        <v>97</v>
      </c>
      <c r="Z56" s="91">
        <v>98</v>
      </c>
      <c r="AA56" s="91">
        <v>95</v>
      </c>
      <c r="AB56" s="91">
        <v>98</v>
      </c>
      <c r="AC56" s="91">
        <v>97</v>
      </c>
      <c r="AD56" s="91">
        <v>98</v>
      </c>
      <c r="AE56" s="91">
        <v>99</v>
      </c>
      <c r="AF56" s="91">
        <v>98</v>
      </c>
      <c r="AG56" s="91"/>
      <c r="AH56" s="302">
        <f>IFERROR(AVERAGEIF(C56:AG56,"&lt;&gt;0"),)</f>
        <v>97.63333333333334</v>
      </c>
      <c r="AJ56" s="303">
        <f>AH56</f>
        <v>97.63333333333334</v>
      </c>
      <c r="AK56" s="304" t="s">
        <v>136</v>
      </c>
    </row>
    <row r="57" spans="1:37" x14ac:dyDescent="0.25">
      <c r="A57" s="90"/>
      <c r="B57" s="301" t="s">
        <v>158</v>
      </c>
      <c r="C57" s="91">
        <v>90</v>
      </c>
      <c r="D57" s="91">
        <v>89</v>
      </c>
      <c r="E57" s="91">
        <v>90</v>
      </c>
      <c r="F57" s="91">
        <v>88</v>
      </c>
      <c r="G57" s="91">
        <v>92</v>
      </c>
      <c r="H57" s="91">
        <v>90</v>
      </c>
      <c r="I57" s="91">
        <v>85</v>
      </c>
      <c r="J57" s="91">
        <v>89</v>
      </c>
      <c r="K57" s="91">
        <v>90</v>
      </c>
      <c r="L57" s="91">
        <v>90</v>
      </c>
      <c r="M57" s="91">
        <v>90</v>
      </c>
      <c r="N57" s="91">
        <v>89</v>
      </c>
      <c r="O57" s="91">
        <v>91</v>
      </c>
      <c r="P57" s="91">
        <v>82</v>
      </c>
      <c r="Q57" s="91">
        <v>90</v>
      </c>
      <c r="R57" s="91">
        <v>88</v>
      </c>
      <c r="S57" s="91">
        <v>90</v>
      </c>
      <c r="T57" s="91">
        <v>89</v>
      </c>
      <c r="U57" s="91">
        <v>90</v>
      </c>
      <c r="V57" s="91">
        <v>85</v>
      </c>
      <c r="W57" s="91">
        <v>81</v>
      </c>
      <c r="X57" s="91">
        <v>88</v>
      </c>
      <c r="Y57" s="91">
        <v>89</v>
      </c>
      <c r="Z57" s="91">
        <v>89</v>
      </c>
      <c r="AA57" s="91">
        <v>86</v>
      </c>
      <c r="AB57" s="91">
        <v>84</v>
      </c>
      <c r="AC57" s="91">
        <v>84</v>
      </c>
      <c r="AD57" s="91">
        <v>79</v>
      </c>
      <c r="AE57" s="91">
        <v>84</v>
      </c>
      <c r="AF57" s="91">
        <v>84</v>
      </c>
      <c r="AG57" s="91"/>
      <c r="AH57" s="302">
        <f t="shared" ref="AH57:AH59" si="16">IFERROR(AVERAGEIF(C57:AG57,"&lt;&gt;0"),)</f>
        <v>87.5</v>
      </c>
      <c r="AJ57" s="305">
        <f>AH57</f>
        <v>87.5</v>
      </c>
      <c r="AK57" s="306" t="s">
        <v>137</v>
      </c>
    </row>
    <row r="58" spans="1:37" x14ac:dyDescent="0.25">
      <c r="A58" s="90"/>
      <c r="B58" s="301" t="s">
        <v>138</v>
      </c>
      <c r="C58" s="301">
        <v>79</v>
      </c>
      <c r="D58" s="301">
        <v>79</v>
      </c>
      <c r="E58" s="301">
        <v>79</v>
      </c>
      <c r="F58" s="301">
        <v>78</v>
      </c>
      <c r="G58" s="301">
        <v>79</v>
      </c>
      <c r="H58" s="301">
        <v>80</v>
      </c>
      <c r="I58" s="301">
        <v>80</v>
      </c>
      <c r="J58" s="301">
        <v>81</v>
      </c>
      <c r="K58" s="301">
        <v>79</v>
      </c>
      <c r="L58" s="301">
        <v>79</v>
      </c>
      <c r="M58" s="301">
        <v>79</v>
      </c>
      <c r="N58" s="301">
        <v>78</v>
      </c>
      <c r="O58" s="301">
        <v>81</v>
      </c>
      <c r="P58" s="301">
        <v>79</v>
      </c>
      <c r="Q58" s="301">
        <v>78</v>
      </c>
      <c r="R58" s="301">
        <v>78</v>
      </c>
      <c r="S58" s="301">
        <v>79</v>
      </c>
      <c r="T58" s="301">
        <v>80</v>
      </c>
      <c r="U58" s="301">
        <v>79</v>
      </c>
      <c r="V58" s="301">
        <v>78</v>
      </c>
      <c r="W58" s="301">
        <v>76</v>
      </c>
      <c r="X58" s="301">
        <v>76</v>
      </c>
      <c r="Y58" s="301">
        <v>79</v>
      </c>
      <c r="Z58" s="301">
        <v>79</v>
      </c>
      <c r="AA58" s="301">
        <v>78</v>
      </c>
      <c r="AB58" s="301">
        <v>78</v>
      </c>
      <c r="AC58" s="301">
        <v>81</v>
      </c>
      <c r="AD58" s="301">
        <v>78</v>
      </c>
      <c r="AE58" s="301">
        <v>78</v>
      </c>
      <c r="AF58" s="301">
        <v>78</v>
      </c>
      <c r="AG58" s="301"/>
      <c r="AH58" s="302">
        <f t="shared" si="16"/>
        <v>78.766666666666666</v>
      </c>
      <c r="AJ58" s="305">
        <f>AH58</f>
        <v>78.766666666666666</v>
      </c>
      <c r="AK58" s="306" t="s">
        <v>139</v>
      </c>
    </row>
    <row r="59" spans="1:37" ht="16.5" thickBot="1" x14ac:dyDescent="0.3">
      <c r="A59" s="81"/>
      <c r="B59" s="307" t="s">
        <v>140</v>
      </c>
      <c r="C59" s="308"/>
      <c r="D59" s="308"/>
      <c r="E59" s="308"/>
      <c r="F59" s="308"/>
      <c r="G59" s="308"/>
      <c r="H59" s="308"/>
      <c r="I59" s="308"/>
      <c r="J59" s="308"/>
      <c r="K59" s="308"/>
      <c r="L59" s="308"/>
      <c r="M59" s="308"/>
      <c r="N59" s="308"/>
      <c r="O59" s="308"/>
      <c r="P59" s="308"/>
      <c r="Q59" s="308"/>
      <c r="R59" s="308"/>
      <c r="S59" s="308"/>
      <c r="T59" s="308"/>
      <c r="U59" s="308"/>
      <c r="V59" s="308"/>
      <c r="W59" s="308"/>
      <c r="X59" s="308"/>
      <c r="Y59" s="308"/>
      <c r="Z59" s="308"/>
      <c r="AA59" s="308"/>
      <c r="AB59" s="308"/>
      <c r="AC59" s="308"/>
      <c r="AD59" s="308"/>
      <c r="AE59" s="308"/>
      <c r="AF59" s="308"/>
      <c r="AG59" s="308"/>
      <c r="AH59" s="309">
        <f t="shared" si="16"/>
        <v>0</v>
      </c>
      <c r="AJ59" s="310">
        <f>AH59</f>
        <v>0</v>
      </c>
      <c r="AK59" s="82" t="s">
        <v>141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J38:AK38"/>
    <mergeCell ref="AL38:AM38"/>
    <mergeCell ref="AJ30:AM30"/>
  </mergeCells>
  <conditionalFormatting sqref="C42:AG42">
    <cfRule type="cellIs" dxfId="13" priority="12" operator="notEqual">
      <formula>0</formula>
    </cfRule>
  </conditionalFormatting>
  <conditionalFormatting sqref="C42:AG42">
    <cfRule type="cellIs" dxfId="12" priority="11" operator="notEqual">
      <formula>0</formula>
    </cfRule>
  </conditionalFormatting>
  <conditionalFormatting sqref="C30:AH30">
    <cfRule type="cellIs" dxfId="11" priority="7" operator="lessThan">
      <formula>0</formula>
    </cfRule>
    <cfRule type="cellIs" dxfId="10" priority="8" operator="greaterThan">
      <formula>0</formula>
    </cfRule>
  </conditionalFormatting>
  <conditionalFormatting sqref="C40:AG40">
    <cfRule type="cellIs" dxfId="9" priority="5" operator="lessThan">
      <formula>0</formula>
    </cfRule>
    <cfRule type="cellIs" dxfId="8" priority="6" operator="greaterThan">
      <formula>0</formula>
    </cfRule>
  </conditionalFormatting>
  <conditionalFormatting sqref="AN38">
    <cfRule type="cellIs" dxfId="7" priority="3" operator="lessThan">
      <formula>0</formula>
    </cfRule>
    <cfRule type="cellIs" dxfId="6" priority="4" operator="greaterThan">
      <formula>0</formula>
    </cfRule>
  </conditionalFormatting>
  <pageMargins left="0" right="0" top="0.75" bottom="0.75" header="0.3" footer="0.3"/>
  <pageSetup paperSize="17" scale="59" orientation="landscape" verticalDpi="300" r:id="rId1"/>
  <headerFooter>
    <oddFooter>&amp;L&amp;8&amp;Z&amp;F&amp;R&amp;8&amp;A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topLeftCell="A22" workbookViewId="0">
      <selection activeCell="P48" sqref="P48"/>
    </sheetView>
  </sheetViews>
  <sheetFormatPr defaultColWidth="9.140625" defaultRowHeight="15" x14ac:dyDescent="0.25"/>
  <cols>
    <col min="1" max="1" width="8.140625" style="59" bestFit="1" customWidth="1"/>
    <col min="2" max="2" width="4" style="59" customWidth="1"/>
    <col min="3" max="3" width="11" style="59" bestFit="1" customWidth="1"/>
    <col min="4" max="6" width="10" style="59" bestFit="1" customWidth="1"/>
    <col min="7" max="7" width="9" style="59" bestFit="1" customWidth="1"/>
    <col min="8" max="9" width="10" style="59" bestFit="1" customWidth="1"/>
    <col min="10" max="10" width="1.7109375" style="59" customWidth="1"/>
    <col min="11" max="11" width="4" style="59" bestFit="1" customWidth="1"/>
    <col min="12" max="13" width="3.7109375" style="59" bestFit="1" customWidth="1"/>
    <col min="14" max="14" width="1.7109375" style="59" customWidth="1"/>
    <col min="15" max="15" width="6" style="59" bestFit="1" customWidth="1"/>
    <col min="16" max="16384" width="9.140625" style="59"/>
  </cols>
  <sheetData>
    <row r="1" spans="1:15" ht="84.75" customHeight="1" thickBot="1" x14ac:dyDescent="0.3">
      <c r="A1" s="504"/>
      <c r="B1" s="505"/>
      <c r="C1" s="316" t="s">
        <v>144</v>
      </c>
      <c r="D1" s="317" t="s">
        <v>63</v>
      </c>
      <c r="E1" s="317" t="s">
        <v>35</v>
      </c>
      <c r="F1" s="317" t="s">
        <v>145</v>
      </c>
      <c r="G1" s="317" t="s">
        <v>112</v>
      </c>
      <c r="H1" s="317" t="s">
        <v>78</v>
      </c>
      <c r="I1" s="317" t="s">
        <v>41</v>
      </c>
      <c r="J1" s="318"/>
      <c r="K1" s="319" t="s">
        <v>135</v>
      </c>
      <c r="L1" s="319" t="s">
        <v>146</v>
      </c>
      <c r="M1" s="319" t="s">
        <v>138</v>
      </c>
      <c r="N1" s="318"/>
      <c r="O1" s="319" t="s">
        <v>147</v>
      </c>
    </row>
    <row r="2" spans="1:15" x14ac:dyDescent="0.25">
      <c r="A2" s="320">
        <f>'Cash Flow'!A8</f>
        <v>44805</v>
      </c>
      <c r="B2" s="355" t="str">
        <f>TEXT(A2,"ddd")</f>
        <v>Thu</v>
      </c>
      <c r="C2" s="321" t="e">
        <f t="array" ref="C2:C32">TRANSPOSE(Pool!C4:AG4)+TRANSPOSE(Pool!#REF!*0.5)</f>
        <v>#REF!</v>
      </c>
      <c r="D2" s="321">
        <f t="array" ref="D2:D32">TRANSPOSE(Pool!C5:AG5)</f>
        <v>0</v>
      </c>
      <c r="E2" s="321">
        <f t="array" ref="E2:E32">TRANSPOSE(Pool!C14:AG14)</f>
        <v>12</v>
      </c>
      <c r="F2" s="321">
        <f t="array" ref="F2:F32">TRANSPOSE(Pool!C15:AG15)</f>
        <v>189.95</v>
      </c>
      <c r="G2" s="321">
        <f t="array" ref="G2:G32">TRANSPOSE(Pool!C16:AG16)</f>
        <v>0</v>
      </c>
      <c r="H2" s="321" t="e">
        <f t="array" ref="H2:H32">TRANSPOSE(Pool!C17:AG17)+TRANSPOSE(Pool!#REF!*0.5)</f>
        <v>#REF!</v>
      </c>
      <c r="I2" s="324">
        <f t="array" ref="I2:I32">TRANSPOSE(Pool!C20:AG20)</f>
        <v>0</v>
      </c>
      <c r="J2" s="327"/>
      <c r="K2" s="328">
        <f t="array" ref="K2:K32">TRANSPOSE(Pool!C56:AG56)</f>
        <v>96</v>
      </c>
      <c r="L2" s="331">
        <f t="array" ref="L2:L32">TRANSPOSE(Pool!C57:AG57)</f>
        <v>90</v>
      </c>
      <c r="M2" s="334">
        <f t="array" ref="M2:M32">TRANSPOSE(Pool!C58:AG58)</f>
        <v>79</v>
      </c>
      <c r="N2" s="327"/>
      <c r="O2" s="338">
        <f t="array" ref="O2:O32">TRANSPOSE(Pool!C49:AG49)</f>
        <v>329</v>
      </c>
    </row>
    <row r="3" spans="1:15" x14ac:dyDescent="0.25">
      <c r="A3" s="341">
        <f t="shared" ref="A3:A32" si="0">SUM(A2+1)</f>
        <v>44806</v>
      </c>
      <c r="B3" s="356" t="str">
        <f>TEXT(A3,"ddd")</f>
        <v>Fri</v>
      </c>
      <c r="C3" s="322" t="e">
        <v>#REF!</v>
      </c>
      <c r="D3" s="322">
        <v>167.4</v>
      </c>
      <c r="E3" s="322">
        <v>124</v>
      </c>
      <c r="F3" s="322">
        <v>505.45</v>
      </c>
      <c r="G3" s="322">
        <v>0</v>
      </c>
      <c r="H3" s="322" t="e">
        <v>#REF!</v>
      </c>
      <c r="I3" s="325">
        <v>0</v>
      </c>
      <c r="J3" s="327"/>
      <c r="K3" s="329">
        <v>97</v>
      </c>
      <c r="L3" s="332">
        <v>89</v>
      </c>
      <c r="M3" s="335">
        <v>79</v>
      </c>
      <c r="N3" s="327"/>
      <c r="O3" s="339">
        <v>503</v>
      </c>
    </row>
    <row r="4" spans="1:15" x14ac:dyDescent="0.25">
      <c r="A4" s="341">
        <f t="shared" si="0"/>
        <v>44807</v>
      </c>
      <c r="B4" s="356" t="str">
        <f>TEXT(A4,"DDD")</f>
        <v>Sat</v>
      </c>
      <c r="C4" s="322" t="e">
        <v>#REF!</v>
      </c>
      <c r="D4" s="322">
        <v>570</v>
      </c>
      <c r="E4" s="322">
        <v>76</v>
      </c>
      <c r="F4" s="322">
        <v>1311.8</v>
      </c>
      <c r="G4" s="322">
        <v>0</v>
      </c>
      <c r="H4" s="322" t="e">
        <v>#REF!</v>
      </c>
      <c r="I4" s="325">
        <v>0</v>
      </c>
      <c r="J4" s="327"/>
      <c r="K4" s="329">
        <v>97</v>
      </c>
      <c r="L4" s="332">
        <v>90</v>
      </c>
      <c r="M4" s="335">
        <v>79</v>
      </c>
      <c r="N4" s="327"/>
      <c r="O4" s="339">
        <v>1329</v>
      </c>
    </row>
    <row r="5" spans="1:15" x14ac:dyDescent="0.25">
      <c r="A5" s="341">
        <f t="shared" si="0"/>
        <v>44808</v>
      </c>
      <c r="B5" s="356" t="str">
        <f>TEXT(A5,"ddd")</f>
        <v>Sun</v>
      </c>
      <c r="C5" s="322" t="e">
        <v>#REF!</v>
      </c>
      <c r="D5" s="322">
        <v>820.8</v>
      </c>
      <c r="E5" s="322">
        <v>20</v>
      </c>
      <c r="F5" s="322">
        <v>1618.24</v>
      </c>
      <c r="G5" s="322">
        <v>0</v>
      </c>
      <c r="H5" s="322" t="e">
        <v>#REF!</v>
      </c>
      <c r="I5" s="325">
        <v>0</v>
      </c>
      <c r="J5" s="327"/>
      <c r="K5" s="329">
        <v>98</v>
      </c>
      <c r="L5" s="332">
        <v>88</v>
      </c>
      <c r="M5" s="335">
        <v>78</v>
      </c>
      <c r="N5" s="327"/>
      <c r="O5" s="339">
        <v>1499</v>
      </c>
    </row>
    <row r="6" spans="1:15" x14ac:dyDescent="0.25">
      <c r="A6" s="341">
        <f t="shared" si="0"/>
        <v>44809</v>
      </c>
      <c r="B6" s="356" t="str">
        <f>TEXT(A6,"DDD")</f>
        <v>Mon</v>
      </c>
      <c r="C6" s="322" t="e">
        <v>#REF!</v>
      </c>
      <c r="D6" s="322">
        <v>247.2</v>
      </c>
      <c r="E6" s="322">
        <v>24</v>
      </c>
      <c r="F6" s="322">
        <v>692.04</v>
      </c>
      <c r="G6" s="322">
        <v>0</v>
      </c>
      <c r="H6" s="322" t="e">
        <v>#REF!</v>
      </c>
      <c r="I6" s="325">
        <v>0</v>
      </c>
      <c r="J6" s="327"/>
      <c r="K6" s="329">
        <v>98</v>
      </c>
      <c r="L6" s="332">
        <v>92</v>
      </c>
      <c r="M6" s="335">
        <v>79</v>
      </c>
      <c r="N6" s="327"/>
      <c r="O6" s="339">
        <v>579</v>
      </c>
    </row>
    <row r="7" spans="1:15" x14ac:dyDescent="0.25">
      <c r="A7" s="341">
        <f t="shared" si="0"/>
        <v>44810</v>
      </c>
      <c r="B7" s="356" t="str">
        <f>TEXT(A7,"ddd")</f>
        <v>Tue</v>
      </c>
      <c r="C7" s="322" t="e">
        <v>#REF!</v>
      </c>
      <c r="D7" s="322">
        <v>0</v>
      </c>
      <c r="E7" s="322">
        <v>305</v>
      </c>
      <c r="F7" s="322">
        <v>297.02999999999997</v>
      </c>
      <c r="G7" s="322">
        <v>0</v>
      </c>
      <c r="H7" s="322" t="e">
        <v>#REF!</v>
      </c>
      <c r="I7" s="325">
        <v>0</v>
      </c>
      <c r="J7" s="327"/>
      <c r="K7" s="329">
        <v>97</v>
      </c>
      <c r="L7" s="332">
        <v>90</v>
      </c>
      <c r="M7" s="335">
        <v>80</v>
      </c>
      <c r="N7" s="327"/>
      <c r="O7" s="339">
        <v>315</v>
      </c>
    </row>
    <row r="8" spans="1:15" x14ac:dyDescent="0.25">
      <c r="A8" s="341">
        <f t="shared" si="0"/>
        <v>44811</v>
      </c>
      <c r="B8" s="356" t="str">
        <f>TEXT(A8,"DDD")</f>
        <v>Wed</v>
      </c>
      <c r="C8" s="322" t="e">
        <v>#REF!</v>
      </c>
      <c r="D8" s="322">
        <v>0</v>
      </c>
      <c r="E8" s="322">
        <v>8</v>
      </c>
      <c r="F8" s="322">
        <v>235.38</v>
      </c>
      <c r="G8" s="322">
        <v>0</v>
      </c>
      <c r="H8" s="322" t="e">
        <v>#REF!</v>
      </c>
      <c r="I8" s="325">
        <v>0</v>
      </c>
      <c r="J8" s="327"/>
      <c r="K8" s="329">
        <v>97</v>
      </c>
      <c r="L8" s="332">
        <v>85</v>
      </c>
      <c r="M8" s="335">
        <v>80</v>
      </c>
      <c r="N8" s="327"/>
      <c r="O8" s="339">
        <v>326</v>
      </c>
    </row>
    <row r="9" spans="1:15" x14ac:dyDescent="0.25">
      <c r="A9" s="341">
        <f t="shared" si="0"/>
        <v>44812</v>
      </c>
      <c r="B9" s="356" t="str">
        <f>TEXT(A9,"ddd")</f>
        <v>Thu</v>
      </c>
      <c r="C9" s="322" t="e">
        <v>#REF!</v>
      </c>
      <c r="D9" s="322">
        <v>0</v>
      </c>
      <c r="E9" s="322">
        <v>60</v>
      </c>
      <c r="F9" s="322">
        <v>293.74</v>
      </c>
      <c r="G9" s="322">
        <v>0</v>
      </c>
      <c r="H9" s="322" t="e">
        <v>#REF!</v>
      </c>
      <c r="I9" s="325">
        <v>0</v>
      </c>
      <c r="J9" s="327"/>
      <c r="K9" s="329">
        <v>98</v>
      </c>
      <c r="L9" s="332">
        <v>89</v>
      </c>
      <c r="M9" s="336">
        <v>81</v>
      </c>
      <c r="N9" s="327"/>
      <c r="O9" s="339">
        <v>319</v>
      </c>
    </row>
    <row r="10" spans="1:15" x14ac:dyDescent="0.25">
      <c r="A10" s="341">
        <f t="shared" si="0"/>
        <v>44813</v>
      </c>
      <c r="B10" s="356" t="str">
        <f>TEXT(A10,"DDD")</f>
        <v>Fri</v>
      </c>
      <c r="C10" s="322" t="e">
        <v>#REF!</v>
      </c>
      <c r="D10" s="322">
        <v>0</v>
      </c>
      <c r="E10" s="322">
        <v>75</v>
      </c>
      <c r="F10" s="322">
        <v>553.94000000000005</v>
      </c>
      <c r="G10" s="322">
        <v>0</v>
      </c>
      <c r="H10" s="322" t="e">
        <v>#REF!</v>
      </c>
      <c r="I10" s="325">
        <v>0</v>
      </c>
      <c r="J10" s="327"/>
      <c r="K10" s="329">
        <v>98</v>
      </c>
      <c r="L10" s="332">
        <v>90</v>
      </c>
      <c r="M10" s="335">
        <v>79</v>
      </c>
      <c r="N10" s="327"/>
      <c r="O10" s="339">
        <v>477</v>
      </c>
    </row>
    <row r="11" spans="1:15" x14ac:dyDescent="0.25">
      <c r="A11" s="341">
        <f t="shared" si="0"/>
        <v>44814</v>
      </c>
      <c r="B11" s="356" t="str">
        <f>TEXT(A11,"ddd")</f>
        <v>Sat</v>
      </c>
      <c r="C11" s="322" t="e">
        <v>#REF!</v>
      </c>
      <c r="D11" s="322">
        <v>0</v>
      </c>
      <c r="E11" s="322">
        <v>16</v>
      </c>
      <c r="F11" s="322">
        <v>599.54999999999995</v>
      </c>
      <c r="G11" s="322">
        <v>0</v>
      </c>
      <c r="H11" s="322" t="e">
        <v>#REF!</v>
      </c>
      <c r="I11" s="325">
        <v>0</v>
      </c>
      <c r="J11" s="327"/>
      <c r="K11" s="329">
        <v>97</v>
      </c>
      <c r="L11" s="332">
        <v>90</v>
      </c>
      <c r="M11" s="335">
        <v>79</v>
      </c>
      <c r="N11" s="327"/>
      <c r="O11" s="339">
        <v>778</v>
      </c>
    </row>
    <row r="12" spans="1:15" x14ac:dyDescent="0.25">
      <c r="A12" s="341">
        <f t="shared" si="0"/>
        <v>44815</v>
      </c>
      <c r="B12" s="356" t="str">
        <f>TEXT(A12,"DDD")</f>
        <v>Sun</v>
      </c>
      <c r="C12" s="322" t="e">
        <v>#REF!</v>
      </c>
      <c r="D12" s="322">
        <v>0</v>
      </c>
      <c r="E12" s="322">
        <v>16</v>
      </c>
      <c r="F12" s="322">
        <v>479.49</v>
      </c>
      <c r="G12" s="322">
        <v>0</v>
      </c>
      <c r="H12" s="322" t="e">
        <v>#REF!</v>
      </c>
      <c r="I12" s="325">
        <v>0</v>
      </c>
      <c r="J12" s="327"/>
      <c r="K12" s="329">
        <v>97</v>
      </c>
      <c r="L12" s="332">
        <v>90</v>
      </c>
      <c r="M12" s="335">
        <v>79</v>
      </c>
      <c r="N12" s="327"/>
      <c r="O12" s="339">
        <v>535</v>
      </c>
    </row>
    <row r="13" spans="1:15" x14ac:dyDescent="0.25">
      <c r="A13" s="341">
        <f t="shared" si="0"/>
        <v>44816</v>
      </c>
      <c r="B13" s="356" t="str">
        <f>TEXT(A13,"ddd")</f>
        <v>Mon</v>
      </c>
      <c r="C13" s="322" t="e">
        <v>#REF!</v>
      </c>
      <c r="D13" s="322">
        <v>0</v>
      </c>
      <c r="E13" s="322">
        <v>20</v>
      </c>
      <c r="F13" s="322">
        <v>248.93</v>
      </c>
      <c r="G13" s="322">
        <v>0</v>
      </c>
      <c r="H13" s="322" t="e">
        <v>#REF!</v>
      </c>
      <c r="I13" s="325">
        <v>0</v>
      </c>
      <c r="J13" s="327"/>
      <c r="K13" s="329">
        <v>97</v>
      </c>
      <c r="L13" s="332">
        <v>89</v>
      </c>
      <c r="M13" s="335">
        <v>78</v>
      </c>
      <c r="N13" s="327"/>
      <c r="O13" s="339">
        <v>341</v>
      </c>
    </row>
    <row r="14" spans="1:15" x14ac:dyDescent="0.25">
      <c r="A14" s="341">
        <f t="shared" si="0"/>
        <v>44817</v>
      </c>
      <c r="B14" s="356" t="str">
        <f>TEXT(A14,"DDD")</f>
        <v>Tue</v>
      </c>
      <c r="C14" s="322" t="e">
        <v>#REF!</v>
      </c>
      <c r="D14" s="322">
        <v>0</v>
      </c>
      <c r="E14" s="322">
        <v>104</v>
      </c>
      <c r="F14" s="322">
        <v>217.62</v>
      </c>
      <c r="G14" s="322">
        <v>0</v>
      </c>
      <c r="H14" s="322" t="e">
        <v>#REF!</v>
      </c>
      <c r="I14" s="325">
        <v>0</v>
      </c>
      <c r="J14" s="327"/>
      <c r="K14" s="329">
        <v>103</v>
      </c>
      <c r="L14" s="332">
        <v>91</v>
      </c>
      <c r="M14" s="335">
        <v>81</v>
      </c>
      <c r="N14" s="327"/>
      <c r="O14" s="339">
        <v>273</v>
      </c>
    </row>
    <row r="15" spans="1:15" x14ac:dyDescent="0.25">
      <c r="A15" s="341">
        <f t="shared" si="0"/>
        <v>44818</v>
      </c>
      <c r="B15" s="356" t="str">
        <f>TEXT(A15,"ddd")</f>
        <v>Wed</v>
      </c>
      <c r="C15" s="322" t="e">
        <v>#REF!</v>
      </c>
      <c r="D15" s="322">
        <v>0</v>
      </c>
      <c r="E15" s="322">
        <v>24</v>
      </c>
      <c r="F15" s="322">
        <v>251.8</v>
      </c>
      <c r="G15" s="322">
        <v>0</v>
      </c>
      <c r="H15" s="322" t="e">
        <v>#REF!</v>
      </c>
      <c r="I15" s="325">
        <v>0</v>
      </c>
      <c r="J15" s="327"/>
      <c r="K15" s="329">
        <v>97</v>
      </c>
      <c r="L15" s="332">
        <v>82</v>
      </c>
      <c r="M15" s="335">
        <v>79</v>
      </c>
      <c r="N15" s="327"/>
      <c r="O15" s="339">
        <v>260</v>
      </c>
    </row>
    <row r="16" spans="1:15" x14ac:dyDescent="0.25">
      <c r="A16" s="341">
        <f t="shared" si="0"/>
        <v>44819</v>
      </c>
      <c r="B16" s="356" t="str">
        <f>TEXT(A16,"DDD")</f>
        <v>Thu</v>
      </c>
      <c r="C16" s="322" t="e">
        <v>#REF!</v>
      </c>
      <c r="D16" s="322">
        <v>0</v>
      </c>
      <c r="E16" s="322">
        <v>24</v>
      </c>
      <c r="F16" s="322">
        <v>357.17</v>
      </c>
      <c r="G16" s="322">
        <v>0</v>
      </c>
      <c r="H16" s="322" t="e">
        <v>#REF!</v>
      </c>
      <c r="I16" s="325">
        <v>0</v>
      </c>
      <c r="J16" s="327"/>
      <c r="K16" s="329">
        <v>98</v>
      </c>
      <c r="L16" s="332">
        <v>90</v>
      </c>
      <c r="M16" s="335">
        <v>78</v>
      </c>
      <c r="N16" s="327"/>
      <c r="O16" s="339">
        <v>399</v>
      </c>
    </row>
    <row r="17" spans="1:15" x14ac:dyDescent="0.25">
      <c r="A17" s="341">
        <f t="shared" si="0"/>
        <v>44820</v>
      </c>
      <c r="B17" s="356" t="str">
        <f>TEXT(A17,"ddd")</f>
        <v>Fri</v>
      </c>
      <c r="C17" s="322" t="e">
        <v>#REF!</v>
      </c>
      <c r="D17" s="322">
        <v>0</v>
      </c>
      <c r="E17" s="322">
        <v>117</v>
      </c>
      <c r="F17" s="322">
        <v>314.23</v>
      </c>
      <c r="G17" s="322">
        <v>0</v>
      </c>
      <c r="H17" s="322" t="e">
        <v>#REF!</v>
      </c>
      <c r="I17" s="325">
        <v>0</v>
      </c>
      <c r="J17" s="327"/>
      <c r="K17" s="329">
        <v>98</v>
      </c>
      <c r="L17" s="332">
        <v>88</v>
      </c>
      <c r="M17" s="335">
        <v>78</v>
      </c>
      <c r="N17" s="327"/>
      <c r="O17" s="339">
        <v>395</v>
      </c>
    </row>
    <row r="18" spans="1:15" x14ac:dyDescent="0.25">
      <c r="A18" s="341">
        <f t="shared" si="0"/>
        <v>44821</v>
      </c>
      <c r="B18" s="356" t="str">
        <f>TEXT(A18,"DDD")</f>
        <v>Sat</v>
      </c>
      <c r="C18" s="322" t="e">
        <v>#REF!</v>
      </c>
      <c r="D18" s="322">
        <v>0</v>
      </c>
      <c r="E18" s="322">
        <v>24</v>
      </c>
      <c r="F18" s="322">
        <v>690.5</v>
      </c>
      <c r="G18" s="322">
        <v>0</v>
      </c>
      <c r="H18" s="322" t="e">
        <v>#REF!</v>
      </c>
      <c r="I18" s="325">
        <v>0</v>
      </c>
      <c r="J18" s="327"/>
      <c r="K18" s="329">
        <v>97</v>
      </c>
      <c r="L18" s="332">
        <v>90</v>
      </c>
      <c r="M18" s="335">
        <v>79</v>
      </c>
      <c r="N18" s="327"/>
      <c r="O18" s="339">
        <v>751</v>
      </c>
    </row>
    <row r="19" spans="1:15" x14ac:dyDescent="0.25">
      <c r="A19" s="341">
        <f t="shared" si="0"/>
        <v>44822</v>
      </c>
      <c r="B19" s="356" t="str">
        <f>TEXT(A19,"ddd")</f>
        <v>Sun</v>
      </c>
      <c r="C19" s="322" t="e">
        <v>#REF!</v>
      </c>
      <c r="D19" s="322">
        <v>0</v>
      </c>
      <c r="E19" s="322">
        <v>0</v>
      </c>
      <c r="F19" s="322">
        <v>517.54999999999995</v>
      </c>
      <c r="G19" s="322">
        <v>0</v>
      </c>
      <c r="H19" s="322" t="e">
        <v>#REF!</v>
      </c>
      <c r="I19" s="325">
        <v>0</v>
      </c>
      <c r="J19" s="327"/>
      <c r="K19" s="329">
        <v>98</v>
      </c>
      <c r="L19" s="332">
        <v>89</v>
      </c>
      <c r="M19" s="335">
        <v>80</v>
      </c>
      <c r="N19" s="327"/>
      <c r="O19" s="339">
        <v>575</v>
      </c>
    </row>
    <row r="20" spans="1:15" x14ac:dyDescent="0.25">
      <c r="A20" s="341">
        <f t="shared" si="0"/>
        <v>44823</v>
      </c>
      <c r="B20" s="356" t="str">
        <f>TEXT(A20,"DDD")</f>
        <v>Mon</v>
      </c>
      <c r="C20" s="322" t="e">
        <v>#REF!</v>
      </c>
      <c r="D20" s="322">
        <v>0</v>
      </c>
      <c r="E20" s="322">
        <v>28</v>
      </c>
      <c r="F20" s="322">
        <v>326.27</v>
      </c>
      <c r="G20" s="322">
        <v>0</v>
      </c>
      <c r="H20" s="322" t="e">
        <v>#REF!</v>
      </c>
      <c r="I20" s="325">
        <v>0</v>
      </c>
      <c r="J20" s="327"/>
      <c r="K20" s="329">
        <v>97</v>
      </c>
      <c r="L20" s="332">
        <v>90</v>
      </c>
      <c r="M20" s="335">
        <v>79</v>
      </c>
      <c r="N20" s="327"/>
      <c r="O20" s="339">
        <v>400</v>
      </c>
    </row>
    <row r="21" spans="1:15" x14ac:dyDescent="0.25">
      <c r="A21" s="341">
        <f t="shared" si="0"/>
        <v>44824</v>
      </c>
      <c r="B21" s="356" t="str">
        <f>TEXT(A21,"ddd")</f>
        <v>Tue</v>
      </c>
      <c r="C21" s="322" t="e">
        <v>#REF!</v>
      </c>
      <c r="D21" s="322">
        <v>0</v>
      </c>
      <c r="E21" s="322">
        <v>151</v>
      </c>
      <c r="F21" s="322">
        <v>130.03</v>
      </c>
      <c r="G21" s="322">
        <v>0</v>
      </c>
      <c r="H21" s="322" t="e">
        <v>#REF!</v>
      </c>
      <c r="I21" s="325">
        <v>0</v>
      </c>
      <c r="J21" s="327"/>
      <c r="K21" s="329">
        <v>98</v>
      </c>
      <c r="L21" s="332">
        <v>85</v>
      </c>
      <c r="M21" s="335">
        <v>78</v>
      </c>
      <c r="N21" s="327"/>
      <c r="O21" s="339">
        <v>231</v>
      </c>
    </row>
    <row r="22" spans="1:15" x14ac:dyDescent="0.25">
      <c r="A22" s="341">
        <f t="shared" si="0"/>
        <v>44825</v>
      </c>
      <c r="B22" s="356" t="str">
        <f>TEXT(A22,"DDD")</f>
        <v>Wed</v>
      </c>
      <c r="C22" s="322" t="e">
        <v>#REF!</v>
      </c>
      <c r="D22" s="322">
        <v>0</v>
      </c>
      <c r="E22" s="322">
        <v>12</v>
      </c>
      <c r="F22" s="322">
        <v>202.5</v>
      </c>
      <c r="G22" s="322">
        <v>0</v>
      </c>
      <c r="H22" s="322" t="e">
        <v>#REF!</v>
      </c>
      <c r="I22" s="325">
        <v>0</v>
      </c>
      <c r="J22" s="327"/>
      <c r="K22" s="329">
        <v>98</v>
      </c>
      <c r="L22" s="332">
        <v>81</v>
      </c>
      <c r="M22" s="335">
        <v>76</v>
      </c>
      <c r="N22" s="327"/>
      <c r="O22" s="339">
        <v>276</v>
      </c>
    </row>
    <row r="23" spans="1:15" x14ac:dyDescent="0.25">
      <c r="A23" s="341">
        <f t="shared" si="0"/>
        <v>44826</v>
      </c>
      <c r="B23" s="356" t="str">
        <f>TEXT(A23,"ddd")</f>
        <v>Thu</v>
      </c>
      <c r="C23" s="322" t="e">
        <v>#REF!</v>
      </c>
      <c r="D23" s="322">
        <v>0</v>
      </c>
      <c r="E23" s="322">
        <v>32</v>
      </c>
      <c r="F23" s="322">
        <v>271.02999999999997</v>
      </c>
      <c r="G23" s="322">
        <v>0</v>
      </c>
      <c r="H23" s="322" t="e">
        <v>#REF!</v>
      </c>
      <c r="I23" s="325">
        <v>0</v>
      </c>
      <c r="J23" s="327"/>
      <c r="K23" s="329">
        <v>98</v>
      </c>
      <c r="L23" s="332">
        <v>88</v>
      </c>
      <c r="M23" s="335">
        <v>76</v>
      </c>
      <c r="N23" s="327"/>
      <c r="O23" s="339">
        <v>278</v>
      </c>
    </row>
    <row r="24" spans="1:15" x14ac:dyDescent="0.25">
      <c r="A24" s="341">
        <f t="shared" si="0"/>
        <v>44827</v>
      </c>
      <c r="B24" s="356" t="str">
        <f>TEXT(A24,"DDD")</f>
        <v>Fri</v>
      </c>
      <c r="C24" s="322" t="e">
        <v>#REF!</v>
      </c>
      <c r="D24" s="322">
        <v>0</v>
      </c>
      <c r="E24" s="322">
        <v>113</v>
      </c>
      <c r="F24" s="322">
        <v>483.32</v>
      </c>
      <c r="G24" s="322">
        <v>0</v>
      </c>
      <c r="H24" s="322" t="e">
        <v>#REF!</v>
      </c>
      <c r="I24" s="325">
        <v>0</v>
      </c>
      <c r="J24" s="327"/>
      <c r="K24" s="329">
        <v>97</v>
      </c>
      <c r="L24" s="332">
        <v>89</v>
      </c>
      <c r="M24" s="335">
        <v>79</v>
      </c>
      <c r="N24" s="327"/>
      <c r="O24" s="339">
        <v>507</v>
      </c>
    </row>
    <row r="25" spans="1:15" x14ac:dyDescent="0.25">
      <c r="A25" s="341">
        <f t="shared" si="0"/>
        <v>44828</v>
      </c>
      <c r="B25" s="356" t="str">
        <f>TEXT(A25,"ddd")</f>
        <v>Sat</v>
      </c>
      <c r="C25" s="322" t="e">
        <v>#REF!</v>
      </c>
      <c r="D25" s="322">
        <v>0</v>
      </c>
      <c r="E25" s="322">
        <v>28</v>
      </c>
      <c r="F25" s="322">
        <v>1005.84</v>
      </c>
      <c r="G25" s="322">
        <v>0</v>
      </c>
      <c r="H25" s="322" t="e">
        <v>#REF!</v>
      </c>
      <c r="I25" s="325">
        <v>0</v>
      </c>
      <c r="J25" s="327"/>
      <c r="K25" s="329">
        <v>98</v>
      </c>
      <c r="L25" s="332">
        <v>89</v>
      </c>
      <c r="M25" s="335">
        <v>79</v>
      </c>
      <c r="N25" s="327"/>
      <c r="O25" s="339">
        <v>821</v>
      </c>
    </row>
    <row r="26" spans="1:15" x14ac:dyDescent="0.25">
      <c r="A26" s="341">
        <f t="shared" si="0"/>
        <v>44829</v>
      </c>
      <c r="B26" s="356" t="str">
        <f>TEXT(A26,"DDD")</f>
        <v>Sun</v>
      </c>
      <c r="C26" s="322" t="e">
        <v>#REF!</v>
      </c>
      <c r="D26" s="322">
        <v>0</v>
      </c>
      <c r="E26" s="322">
        <v>12</v>
      </c>
      <c r="F26" s="322">
        <v>581.25</v>
      </c>
      <c r="G26" s="322">
        <v>0</v>
      </c>
      <c r="H26" s="322" t="e">
        <v>#REF!</v>
      </c>
      <c r="I26" s="325">
        <v>0</v>
      </c>
      <c r="J26" s="327"/>
      <c r="K26" s="329">
        <v>95</v>
      </c>
      <c r="L26" s="332">
        <v>86</v>
      </c>
      <c r="M26" s="335">
        <v>78</v>
      </c>
      <c r="N26" s="327"/>
      <c r="O26" s="339">
        <v>575</v>
      </c>
    </row>
    <row r="27" spans="1:15" x14ac:dyDescent="0.25">
      <c r="A27" s="341">
        <f t="shared" si="0"/>
        <v>44830</v>
      </c>
      <c r="B27" s="356" t="str">
        <f>TEXT(A27,"ddd")</f>
        <v>Mon</v>
      </c>
      <c r="C27" s="322" t="e">
        <v>#REF!</v>
      </c>
      <c r="D27" s="322">
        <v>0</v>
      </c>
      <c r="E27" s="322">
        <v>8</v>
      </c>
      <c r="F27" s="322">
        <v>506.99</v>
      </c>
      <c r="G27" s="322">
        <v>0</v>
      </c>
      <c r="H27" s="322" t="e">
        <v>#REF!</v>
      </c>
      <c r="I27" s="325">
        <v>0</v>
      </c>
      <c r="J27" s="327"/>
      <c r="K27" s="329">
        <v>98</v>
      </c>
      <c r="L27" s="332">
        <v>84</v>
      </c>
      <c r="M27" s="335">
        <v>78</v>
      </c>
      <c r="N27" s="327"/>
      <c r="O27" s="339">
        <v>313</v>
      </c>
    </row>
    <row r="28" spans="1:15" x14ac:dyDescent="0.25">
      <c r="A28" s="341">
        <f t="shared" si="0"/>
        <v>44831</v>
      </c>
      <c r="B28" s="356" t="str">
        <f>TEXT(A28,"DDD")</f>
        <v>Tue</v>
      </c>
      <c r="C28" s="322" t="e">
        <v>#REF!</v>
      </c>
      <c r="D28" s="322">
        <v>0</v>
      </c>
      <c r="E28" s="322">
        <v>264</v>
      </c>
      <c r="F28" s="322">
        <v>166.35</v>
      </c>
      <c r="G28" s="322">
        <v>0</v>
      </c>
      <c r="H28" s="322" t="e">
        <v>#REF!</v>
      </c>
      <c r="I28" s="325">
        <v>0</v>
      </c>
      <c r="J28" s="327"/>
      <c r="K28" s="329">
        <v>97</v>
      </c>
      <c r="L28" s="332">
        <v>84</v>
      </c>
      <c r="M28" s="335">
        <v>81</v>
      </c>
      <c r="N28" s="327"/>
      <c r="O28" s="339">
        <v>285</v>
      </c>
    </row>
    <row r="29" spans="1:15" x14ac:dyDescent="0.25">
      <c r="A29" s="341">
        <f t="shared" si="0"/>
        <v>44832</v>
      </c>
      <c r="B29" s="356" t="str">
        <f>TEXT(A29,"ddd")</f>
        <v>Wed</v>
      </c>
      <c r="C29" s="322" t="e">
        <v>#REF!</v>
      </c>
      <c r="D29" s="322">
        <v>0</v>
      </c>
      <c r="E29" s="322">
        <v>28</v>
      </c>
      <c r="F29" s="322">
        <v>281.37</v>
      </c>
      <c r="G29" s="322">
        <v>0</v>
      </c>
      <c r="H29" s="322" t="e">
        <v>#REF!</v>
      </c>
      <c r="I29" s="325">
        <v>0</v>
      </c>
      <c r="J29" s="327"/>
      <c r="K29" s="329">
        <v>98</v>
      </c>
      <c r="L29" s="332">
        <v>79</v>
      </c>
      <c r="M29" s="335">
        <v>78</v>
      </c>
      <c r="N29" s="327"/>
      <c r="O29" s="339">
        <v>296</v>
      </c>
    </row>
    <row r="30" spans="1:15" x14ac:dyDescent="0.25">
      <c r="A30" s="341">
        <f t="shared" si="0"/>
        <v>44833</v>
      </c>
      <c r="B30" s="356" t="str">
        <f>TEXT(A30,"ddd")</f>
        <v>Thu</v>
      </c>
      <c r="C30" s="322" t="e">
        <v>#REF!</v>
      </c>
      <c r="D30" s="322">
        <v>0</v>
      </c>
      <c r="E30" s="322">
        <v>88</v>
      </c>
      <c r="F30" s="322">
        <v>253.82</v>
      </c>
      <c r="G30" s="322">
        <v>0</v>
      </c>
      <c r="H30" s="322" t="e">
        <v>#REF!</v>
      </c>
      <c r="I30" s="325">
        <v>0</v>
      </c>
      <c r="J30" s="327"/>
      <c r="K30" s="329">
        <v>99</v>
      </c>
      <c r="L30" s="332">
        <v>84</v>
      </c>
      <c r="M30" s="335">
        <v>78</v>
      </c>
      <c r="N30" s="327"/>
      <c r="O30" s="339">
        <v>321</v>
      </c>
    </row>
    <row r="31" spans="1:15" x14ac:dyDescent="0.25">
      <c r="A31" s="341">
        <f t="shared" si="0"/>
        <v>44834</v>
      </c>
      <c r="B31" s="356" t="str">
        <f>TEXT(A31,"ddd")</f>
        <v>Fri</v>
      </c>
      <c r="C31" s="322" t="e">
        <v>#REF!</v>
      </c>
      <c r="D31" s="322">
        <v>0</v>
      </c>
      <c r="E31" s="322">
        <v>52</v>
      </c>
      <c r="F31" s="322">
        <v>269.41000000000003</v>
      </c>
      <c r="G31" s="322">
        <v>0</v>
      </c>
      <c r="H31" s="322" t="e">
        <v>#REF!</v>
      </c>
      <c r="I31" s="325">
        <v>0</v>
      </c>
      <c r="J31" s="327"/>
      <c r="K31" s="329">
        <v>98</v>
      </c>
      <c r="L31" s="332">
        <v>84</v>
      </c>
      <c r="M31" s="335">
        <v>78</v>
      </c>
      <c r="N31" s="327"/>
      <c r="O31" s="339">
        <v>366</v>
      </c>
    </row>
    <row r="32" spans="1:15" ht="15.75" thickBot="1" x14ac:dyDescent="0.3">
      <c r="A32" s="342">
        <f t="shared" si="0"/>
        <v>44835</v>
      </c>
      <c r="B32" s="357" t="str">
        <f>TEXT(A32,"ddd")</f>
        <v>Sat</v>
      </c>
      <c r="C32" s="323" t="e">
        <v>#REF!</v>
      </c>
      <c r="D32" s="323">
        <v>0</v>
      </c>
      <c r="E32" s="323">
        <v>0</v>
      </c>
      <c r="F32" s="323">
        <v>0</v>
      </c>
      <c r="G32" s="323">
        <v>0</v>
      </c>
      <c r="H32" s="323" t="e">
        <v>#REF!</v>
      </c>
      <c r="I32" s="326">
        <v>0</v>
      </c>
      <c r="J32" s="327"/>
      <c r="K32" s="330">
        <v>0</v>
      </c>
      <c r="L32" s="333">
        <v>0</v>
      </c>
      <c r="M32" s="337">
        <v>0</v>
      </c>
      <c r="N32" s="327"/>
      <c r="O32" s="340">
        <v>0</v>
      </c>
    </row>
    <row r="33" spans="1:15" ht="15.75" thickBot="1" x14ac:dyDescent="0.3">
      <c r="C33" s="210"/>
      <c r="D33" s="210"/>
      <c r="E33" s="210"/>
      <c r="F33" s="210"/>
      <c r="G33" s="210"/>
      <c r="H33" s="210"/>
      <c r="I33" s="210"/>
    </row>
    <row r="34" spans="1:15" ht="15.75" thickBot="1" x14ac:dyDescent="0.3">
      <c r="A34" s="343" t="s">
        <v>76</v>
      </c>
      <c r="B34" s="344"/>
      <c r="C34" s="345" t="e">
        <f t="shared" ref="C34:I34" si="1">SUM(C2:C33)</f>
        <v>#REF!</v>
      </c>
      <c r="D34" s="345">
        <f t="shared" si="1"/>
        <v>1805.3999999999999</v>
      </c>
      <c r="E34" s="345">
        <f t="shared" si="1"/>
        <v>1865</v>
      </c>
      <c r="F34" s="345">
        <f t="shared" si="1"/>
        <v>13852.590000000002</v>
      </c>
      <c r="G34" s="345">
        <f t="shared" si="1"/>
        <v>0</v>
      </c>
      <c r="H34" s="345" t="e">
        <f t="shared" si="1"/>
        <v>#REF!</v>
      </c>
      <c r="I34" s="346">
        <f t="shared" si="1"/>
        <v>0</v>
      </c>
      <c r="J34" s="60"/>
      <c r="K34" s="347">
        <f>Pool!AJ56</f>
        <v>97.63333333333334</v>
      </c>
      <c r="L34" s="348">
        <f>Pool!AJ57</f>
        <v>87.5</v>
      </c>
      <c r="M34" s="349">
        <f>Pool!AJ58</f>
        <v>78.766666666666666</v>
      </c>
      <c r="N34" s="102"/>
      <c r="O34" s="350">
        <f>SUM(O2:O33)</f>
        <v>14652</v>
      </c>
    </row>
    <row r="37" spans="1:15" x14ac:dyDescent="0.25">
      <c r="A37" s="351" t="s">
        <v>148</v>
      </c>
      <c r="B37" s="351"/>
      <c r="C37" s="351"/>
      <c r="D37" s="351"/>
      <c r="E37" s="351"/>
    </row>
    <row r="38" spans="1:15" x14ac:dyDescent="0.25">
      <c r="A38" s="351"/>
      <c r="B38" s="351"/>
      <c r="C38" s="351" t="s">
        <v>149</v>
      </c>
      <c r="D38" s="351">
        <v>100</v>
      </c>
      <c r="E38" s="351"/>
    </row>
    <row r="39" spans="1:15" x14ac:dyDescent="0.25">
      <c r="A39" s="351"/>
      <c r="B39" s="352" t="s">
        <v>150</v>
      </c>
      <c r="C39" s="352" t="s">
        <v>151</v>
      </c>
      <c r="D39" s="352">
        <v>-10</v>
      </c>
      <c r="E39" s="351"/>
    </row>
    <row r="40" spans="1:15" x14ac:dyDescent="0.25">
      <c r="A40" s="351"/>
      <c r="B40" s="351"/>
      <c r="C40" s="351"/>
      <c r="D40" s="351">
        <v>90</v>
      </c>
      <c r="E40" s="351"/>
    </row>
    <row r="41" spans="1:15" x14ac:dyDescent="0.25">
      <c r="A41" s="351"/>
      <c r="B41" s="353" t="s">
        <v>152</v>
      </c>
      <c r="C41" s="353" t="s">
        <v>58</v>
      </c>
      <c r="D41" s="353">
        <v>20</v>
      </c>
      <c r="E41" s="351"/>
    </row>
    <row r="42" spans="1:15" x14ac:dyDescent="0.25">
      <c r="A42" s="351"/>
      <c r="B42" s="351"/>
      <c r="C42" s="351"/>
      <c r="D42" s="354">
        <v>110</v>
      </c>
      <c r="E42" s="354" t="s">
        <v>107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B1"/>
  </mergeCells>
  <printOptions horizontalCentered="1" verticalCentered="1"/>
  <pageMargins left="0" right="0" top="0.75" bottom="0.75" header="0.3" footer="0.3"/>
  <pageSetup orientation="portrait" verticalDpi="0" r:id="rId1"/>
  <headerFooter>
    <oddFooter>&amp;L&amp;6&amp;F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14"/>
  <sheetViews>
    <sheetView workbookViewId="0">
      <pane xSplit="2" ySplit="2" topLeftCell="Z3" activePane="bottomRight" state="frozen"/>
      <selection pane="topRight" activeCell="C1" sqref="C1"/>
      <selection pane="bottomLeft" activeCell="A3" sqref="A3"/>
      <selection pane="bottomRight" activeCell="AH28" sqref="AH28"/>
    </sheetView>
  </sheetViews>
  <sheetFormatPr defaultColWidth="9.140625" defaultRowHeight="15.75" x14ac:dyDescent="0.25"/>
  <cols>
    <col min="1" max="1" width="13.42578125" style="59" bestFit="1" customWidth="1"/>
    <col min="2" max="2" width="33.85546875" style="60" bestFit="1" customWidth="1"/>
    <col min="3" max="5" width="10" style="60" customWidth="1"/>
    <col min="6" max="6" width="10.5703125" style="60" bestFit="1" customWidth="1"/>
    <col min="7" max="32" width="10" style="60" customWidth="1"/>
    <col min="33" max="33" width="8.42578125" style="60" hidden="1" customWidth="1"/>
    <col min="34" max="34" width="12.7109375" style="61" bestFit="1" customWidth="1"/>
    <col min="35" max="35" width="3" style="62" customWidth="1"/>
    <col min="36" max="36" width="10.42578125" style="60" customWidth="1"/>
    <col min="37" max="37" width="33.85546875" style="60" customWidth="1"/>
    <col min="38" max="38" width="11.5703125" style="59" bestFit="1" customWidth="1"/>
    <col min="39" max="39" width="12.85546875" style="59" customWidth="1"/>
    <col min="40" max="40" width="20.28515625" style="59" bestFit="1" customWidth="1"/>
    <col min="41" max="16384" width="9.140625" style="59"/>
  </cols>
  <sheetData>
    <row r="1" spans="1:40" ht="16.5" thickBot="1" x14ac:dyDescent="0.3">
      <c r="A1" s="170" t="s">
        <v>220</v>
      </c>
      <c r="B1" s="378" t="str">
        <f>'Cash Flow'!C1</f>
        <v>September</v>
      </c>
      <c r="C1" s="228" t="str">
        <f t="array" ref="C1:AG1">TRANSPOSE('Cash Flow'!B8:B38)</f>
        <v>Thu</v>
      </c>
      <c r="D1" s="228" t="str">
        <v>Fri</v>
      </c>
      <c r="E1" s="228" t="str">
        <v>Sat</v>
      </c>
      <c r="F1" s="228" t="str">
        <v>Sun</v>
      </c>
      <c r="G1" s="228" t="str">
        <v>Mon</v>
      </c>
      <c r="H1" s="228" t="str">
        <v>Tue</v>
      </c>
      <c r="I1" s="228" t="str">
        <v>Wed</v>
      </c>
      <c r="J1" s="228" t="str">
        <v>Thu</v>
      </c>
      <c r="K1" s="228" t="str">
        <v>Fri</v>
      </c>
      <c r="L1" s="228" t="str">
        <v>Sat</v>
      </c>
      <c r="M1" s="228" t="str">
        <v>Sun</v>
      </c>
      <c r="N1" s="228" t="str">
        <v>Mon</v>
      </c>
      <c r="O1" s="228" t="str">
        <v>Tue</v>
      </c>
      <c r="P1" s="228" t="str">
        <v>Wed</v>
      </c>
      <c r="Q1" s="228" t="str">
        <v>Thu</v>
      </c>
      <c r="R1" s="228" t="str">
        <v>Fri</v>
      </c>
      <c r="S1" s="228" t="str">
        <v>Sat</v>
      </c>
      <c r="T1" s="228" t="str">
        <v>Sun</v>
      </c>
      <c r="U1" s="228" t="str">
        <v>Mon</v>
      </c>
      <c r="V1" s="228" t="str">
        <v>Tue</v>
      </c>
      <c r="W1" s="228" t="str">
        <v>Wed</v>
      </c>
      <c r="X1" s="228" t="str">
        <v>Thu</v>
      </c>
      <c r="Y1" s="228" t="str">
        <v>Fri</v>
      </c>
      <c r="Z1" s="228" t="str">
        <v>Sat</v>
      </c>
      <c r="AA1" s="228" t="str">
        <v>Sun</v>
      </c>
      <c r="AB1" s="228" t="str">
        <v>Mon</v>
      </c>
      <c r="AC1" s="228" t="str">
        <v>Tue</v>
      </c>
      <c r="AD1" s="228" t="str">
        <v>Wed</v>
      </c>
      <c r="AE1" s="228" t="str">
        <v>Thu</v>
      </c>
      <c r="AF1" s="228" t="str">
        <v>Fri</v>
      </c>
      <c r="AG1" s="228" t="str">
        <v>Sat</v>
      </c>
    </row>
    <row r="2" spans="1:40" s="60" customFormat="1" ht="16.5" thickBot="1" x14ac:dyDescent="0.3">
      <c r="A2" s="63" t="s">
        <v>66</v>
      </c>
      <c r="B2" s="64" t="s">
        <v>131</v>
      </c>
      <c r="C2" s="106">
        <f>'Cash Flow'!A8</f>
        <v>44805</v>
      </c>
      <c r="D2" s="106">
        <f>C2+1</f>
        <v>44806</v>
      </c>
      <c r="E2" s="106">
        <f>D2+1</f>
        <v>44807</v>
      </c>
      <c r="F2" s="106">
        <f t="shared" ref="F2:AG2" si="0">E2+1</f>
        <v>44808</v>
      </c>
      <c r="G2" s="106">
        <f t="shared" si="0"/>
        <v>44809</v>
      </c>
      <c r="H2" s="106">
        <f t="shared" si="0"/>
        <v>44810</v>
      </c>
      <c r="I2" s="106">
        <f t="shared" si="0"/>
        <v>44811</v>
      </c>
      <c r="J2" s="106">
        <f t="shared" si="0"/>
        <v>44812</v>
      </c>
      <c r="K2" s="106">
        <f t="shared" si="0"/>
        <v>44813</v>
      </c>
      <c r="L2" s="106">
        <f t="shared" si="0"/>
        <v>44814</v>
      </c>
      <c r="M2" s="106">
        <f t="shared" si="0"/>
        <v>44815</v>
      </c>
      <c r="N2" s="106">
        <f t="shared" si="0"/>
        <v>44816</v>
      </c>
      <c r="O2" s="106">
        <f t="shared" si="0"/>
        <v>44817</v>
      </c>
      <c r="P2" s="106">
        <f t="shared" si="0"/>
        <v>44818</v>
      </c>
      <c r="Q2" s="106">
        <f t="shared" si="0"/>
        <v>44819</v>
      </c>
      <c r="R2" s="106">
        <f t="shared" si="0"/>
        <v>44820</v>
      </c>
      <c r="S2" s="106">
        <f t="shared" si="0"/>
        <v>44821</v>
      </c>
      <c r="T2" s="106">
        <f t="shared" si="0"/>
        <v>44822</v>
      </c>
      <c r="U2" s="106">
        <f t="shared" si="0"/>
        <v>44823</v>
      </c>
      <c r="V2" s="106">
        <f t="shared" si="0"/>
        <v>44824</v>
      </c>
      <c r="W2" s="106">
        <f t="shared" si="0"/>
        <v>44825</v>
      </c>
      <c r="X2" s="106">
        <f t="shared" si="0"/>
        <v>44826</v>
      </c>
      <c r="Y2" s="106">
        <f t="shared" si="0"/>
        <v>44827</v>
      </c>
      <c r="Z2" s="106">
        <f t="shared" si="0"/>
        <v>44828</v>
      </c>
      <c r="AA2" s="106">
        <f t="shared" si="0"/>
        <v>44829</v>
      </c>
      <c r="AB2" s="106">
        <f t="shared" si="0"/>
        <v>44830</v>
      </c>
      <c r="AC2" s="106">
        <f t="shared" si="0"/>
        <v>44831</v>
      </c>
      <c r="AD2" s="106">
        <f t="shared" si="0"/>
        <v>44832</v>
      </c>
      <c r="AE2" s="106">
        <f t="shared" si="0"/>
        <v>44833</v>
      </c>
      <c r="AF2" s="106">
        <f t="shared" si="0"/>
        <v>44834</v>
      </c>
      <c r="AG2" s="106">
        <f t="shared" si="0"/>
        <v>44835</v>
      </c>
      <c r="AH2" s="65" t="s">
        <v>59</v>
      </c>
      <c r="AI2" s="62"/>
      <c r="AJ2" s="63" t="s">
        <v>66</v>
      </c>
      <c r="AK2" s="64" t="s">
        <v>131</v>
      </c>
    </row>
    <row r="3" spans="1:40" x14ac:dyDescent="0.25">
      <c r="A3" s="66" t="s">
        <v>61</v>
      </c>
      <c r="B3" s="67" t="s">
        <v>62</v>
      </c>
      <c r="C3" s="68">
        <v>13.05</v>
      </c>
      <c r="D3" s="185">
        <v>11.62</v>
      </c>
      <c r="E3" s="185">
        <v>8.51</v>
      </c>
      <c r="F3" s="185">
        <v>11.96</v>
      </c>
      <c r="G3" s="185">
        <v>0.56999999999999995</v>
      </c>
      <c r="H3" s="185">
        <v>1.1299999999999999</v>
      </c>
      <c r="I3" s="185">
        <v>6.52</v>
      </c>
      <c r="J3" s="185">
        <v>3.59</v>
      </c>
      <c r="K3" s="185">
        <v>1.5</v>
      </c>
      <c r="L3" s="185">
        <v>7.85</v>
      </c>
      <c r="M3" s="185">
        <v>10.32</v>
      </c>
      <c r="N3" s="185">
        <v>6.34</v>
      </c>
      <c r="O3" s="185">
        <v>43.23</v>
      </c>
      <c r="P3" s="185">
        <v>19.61</v>
      </c>
      <c r="Q3" s="185">
        <v>5.49</v>
      </c>
      <c r="R3" s="185">
        <v>7.14</v>
      </c>
      <c r="S3" s="185">
        <v>1.1399999999999999</v>
      </c>
      <c r="T3" s="185">
        <v>6.04</v>
      </c>
      <c r="U3" s="185">
        <v>1.42</v>
      </c>
      <c r="V3" s="185">
        <v>2.5</v>
      </c>
      <c r="W3" s="185">
        <v>6.06</v>
      </c>
      <c r="X3" s="185">
        <v>3.78</v>
      </c>
      <c r="Y3" s="185">
        <v>8.0500000000000007</v>
      </c>
      <c r="Z3" s="185">
        <v>0.95</v>
      </c>
      <c r="AA3" s="185">
        <v>10.64</v>
      </c>
      <c r="AB3" s="185">
        <v>1.79</v>
      </c>
      <c r="AC3" s="185">
        <v>14.06</v>
      </c>
      <c r="AD3" s="185">
        <v>11.49</v>
      </c>
      <c r="AE3" s="185">
        <v>4.01</v>
      </c>
      <c r="AF3" s="185">
        <v>5.24</v>
      </c>
      <c r="AG3" s="185"/>
      <c r="AH3" s="108">
        <f>SUM(C3:AG3)</f>
        <v>235.6</v>
      </c>
      <c r="AJ3" s="66" t="s">
        <v>61</v>
      </c>
      <c r="AK3" s="67" t="s">
        <v>62</v>
      </c>
      <c r="AL3" s="210"/>
      <c r="AM3" s="210"/>
    </row>
    <row r="4" spans="1:40" ht="16.5" thickBot="1" x14ac:dyDescent="0.3">
      <c r="A4" s="69" t="s">
        <v>221</v>
      </c>
      <c r="B4" s="70" t="s">
        <v>222</v>
      </c>
      <c r="C4" s="71">
        <v>137.94</v>
      </c>
      <c r="D4" s="72">
        <v>123</v>
      </c>
      <c r="E4" s="71">
        <v>90</v>
      </c>
      <c r="F4" s="71">
        <v>126.45</v>
      </c>
      <c r="G4" s="71">
        <v>6</v>
      </c>
      <c r="H4" s="71">
        <v>11.99</v>
      </c>
      <c r="I4" s="71">
        <v>69</v>
      </c>
      <c r="J4" s="71">
        <v>38</v>
      </c>
      <c r="K4" s="71">
        <v>15.99</v>
      </c>
      <c r="L4" s="71">
        <v>83</v>
      </c>
      <c r="M4" s="71">
        <v>109</v>
      </c>
      <c r="N4" s="71">
        <v>66.98</v>
      </c>
      <c r="O4" s="71">
        <v>457.48</v>
      </c>
      <c r="P4" s="71">
        <v>207.5</v>
      </c>
      <c r="Q4" s="71">
        <v>57.95</v>
      </c>
      <c r="R4" s="71">
        <v>75.5</v>
      </c>
      <c r="S4" s="71">
        <v>12</v>
      </c>
      <c r="T4" s="71">
        <v>63.98</v>
      </c>
      <c r="U4" s="71">
        <v>15</v>
      </c>
      <c r="V4" s="71">
        <v>26.5</v>
      </c>
      <c r="W4" s="71">
        <v>64</v>
      </c>
      <c r="X4" s="71">
        <v>39.979999999999997</v>
      </c>
      <c r="Y4" s="71">
        <v>85</v>
      </c>
      <c r="Z4" s="71">
        <v>10</v>
      </c>
      <c r="AA4" s="71">
        <v>112.5</v>
      </c>
      <c r="AB4" s="71">
        <v>19</v>
      </c>
      <c r="AC4" s="71">
        <v>148.44999999999999</v>
      </c>
      <c r="AD4" s="71">
        <v>121.47</v>
      </c>
      <c r="AE4" s="71">
        <v>42.5</v>
      </c>
      <c r="AF4" s="71">
        <v>55.5</v>
      </c>
      <c r="AG4" s="71"/>
      <c r="AH4" s="108">
        <f t="shared" ref="AH4" si="1">SUM(C4:AG4)</f>
        <v>2491.6599999999994</v>
      </c>
      <c r="AJ4" s="69" t="s">
        <v>221</v>
      </c>
      <c r="AK4" s="70" t="s">
        <v>222</v>
      </c>
      <c r="AL4" s="210"/>
      <c r="AM4" s="210"/>
    </row>
    <row r="5" spans="1:40" s="60" customFormat="1" ht="13.5" thickBot="1" x14ac:dyDescent="0.25">
      <c r="A5" s="199"/>
      <c r="B5" s="84" t="s">
        <v>64</v>
      </c>
      <c r="C5" s="107">
        <f t="shared" ref="C5:AG5" si="2">SUM(C3:C4)</f>
        <v>150.99</v>
      </c>
      <c r="D5" s="107">
        <f t="shared" si="2"/>
        <v>134.62</v>
      </c>
      <c r="E5" s="107">
        <f t="shared" si="2"/>
        <v>98.51</v>
      </c>
      <c r="F5" s="107">
        <f t="shared" si="2"/>
        <v>138.41</v>
      </c>
      <c r="G5" s="107">
        <f t="shared" si="2"/>
        <v>6.57</v>
      </c>
      <c r="H5" s="107">
        <f t="shared" si="2"/>
        <v>13.120000000000001</v>
      </c>
      <c r="I5" s="107">
        <f t="shared" si="2"/>
        <v>75.52</v>
      </c>
      <c r="J5" s="107">
        <f t="shared" si="2"/>
        <v>41.59</v>
      </c>
      <c r="K5" s="107">
        <f t="shared" si="2"/>
        <v>17.490000000000002</v>
      </c>
      <c r="L5" s="107">
        <f t="shared" si="2"/>
        <v>90.85</v>
      </c>
      <c r="M5" s="107">
        <f t="shared" si="2"/>
        <v>119.32</v>
      </c>
      <c r="N5" s="107">
        <f t="shared" si="2"/>
        <v>73.320000000000007</v>
      </c>
      <c r="O5" s="107">
        <f t="shared" si="2"/>
        <v>500.71000000000004</v>
      </c>
      <c r="P5" s="107">
        <f t="shared" si="2"/>
        <v>227.11</v>
      </c>
      <c r="Q5" s="107">
        <f t="shared" si="2"/>
        <v>63.440000000000005</v>
      </c>
      <c r="R5" s="107">
        <f t="shared" si="2"/>
        <v>82.64</v>
      </c>
      <c r="S5" s="107">
        <f t="shared" si="2"/>
        <v>13.14</v>
      </c>
      <c r="T5" s="107">
        <f t="shared" si="2"/>
        <v>70.02</v>
      </c>
      <c r="U5" s="107">
        <f t="shared" si="2"/>
        <v>16.420000000000002</v>
      </c>
      <c r="V5" s="107">
        <f t="shared" si="2"/>
        <v>29</v>
      </c>
      <c r="W5" s="107">
        <f t="shared" si="2"/>
        <v>70.06</v>
      </c>
      <c r="X5" s="107">
        <f t="shared" si="2"/>
        <v>43.76</v>
      </c>
      <c r="Y5" s="107">
        <f t="shared" si="2"/>
        <v>93.05</v>
      </c>
      <c r="Z5" s="107">
        <f t="shared" si="2"/>
        <v>10.95</v>
      </c>
      <c r="AA5" s="107">
        <f t="shared" si="2"/>
        <v>123.14</v>
      </c>
      <c r="AB5" s="107">
        <f t="shared" si="2"/>
        <v>20.79</v>
      </c>
      <c r="AC5" s="107">
        <f t="shared" si="2"/>
        <v>162.51</v>
      </c>
      <c r="AD5" s="107">
        <f t="shared" si="2"/>
        <v>132.96</v>
      </c>
      <c r="AE5" s="107">
        <f t="shared" si="2"/>
        <v>46.51</v>
      </c>
      <c r="AF5" s="107">
        <f t="shared" si="2"/>
        <v>60.74</v>
      </c>
      <c r="AG5" s="107">
        <f t="shared" si="2"/>
        <v>0</v>
      </c>
      <c r="AH5" s="109">
        <f>SUM(C3:AG4)</f>
        <v>2727.2599999999998</v>
      </c>
      <c r="AI5" s="85"/>
      <c r="AJ5" s="275"/>
      <c r="AK5" s="276" t="s">
        <v>64</v>
      </c>
    </row>
    <row r="6" spans="1:40" ht="16.5" thickBot="1" x14ac:dyDescent="0.3">
      <c r="A6" s="195"/>
      <c r="B6" s="196"/>
      <c r="C6" s="197"/>
      <c r="D6" s="196"/>
      <c r="E6" s="196"/>
      <c r="F6" s="196"/>
      <c r="G6" s="196"/>
      <c r="H6" s="278"/>
      <c r="I6" s="196"/>
      <c r="J6" s="196"/>
      <c r="K6" s="196"/>
      <c r="L6" s="196"/>
      <c r="M6" s="196"/>
      <c r="N6" s="196"/>
      <c r="O6" s="196"/>
      <c r="P6" s="196"/>
      <c r="Q6" s="196"/>
      <c r="R6" s="263"/>
      <c r="S6" s="196"/>
      <c r="T6" s="196"/>
      <c r="U6" s="196"/>
      <c r="V6" s="196"/>
      <c r="W6" s="196"/>
      <c r="X6" s="196"/>
      <c r="Y6" s="197"/>
      <c r="Z6" s="196"/>
      <c r="AA6" s="196"/>
      <c r="AB6" s="196"/>
      <c r="AC6" s="196"/>
      <c r="AD6" s="196"/>
      <c r="AE6" s="196"/>
      <c r="AF6" s="196"/>
      <c r="AG6" s="196"/>
      <c r="AH6" s="198"/>
      <c r="AJ6" s="282" t="s">
        <v>66</v>
      </c>
      <c r="AK6" s="283" t="s">
        <v>131</v>
      </c>
      <c r="AL6" s="283" t="s">
        <v>123</v>
      </c>
      <c r="AM6" s="284" t="s">
        <v>124</v>
      </c>
    </row>
    <row r="7" spans="1:40" x14ac:dyDescent="0.25">
      <c r="A7" s="89" t="s">
        <v>60</v>
      </c>
      <c r="B7" s="84" t="s">
        <v>54</v>
      </c>
      <c r="C7" s="391">
        <v>1.0900000000000001</v>
      </c>
      <c r="D7" s="391">
        <v>90.84</v>
      </c>
      <c r="E7" s="391">
        <v>3.28</v>
      </c>
      <c r="F7" s="391"/>
      <c r="G7" s="391">
        <v>6.57</v>
      </c>
      <c r="H7" s="391"/>
      <c r="I7" s="391"/>
      <c r="J7" s="391">
        <v>14.23</v>
      </c>
      <c r="K7" s="391">
        <v>3.28</v>
      </c>
      <c r="L7" s="391"/>
      <c r="M7" s="391">
        <v>14.24</v>
      </c>
      <c r="N7" s="391">
        <v>52.53</v>
      </c>
      <c r="O7" s="391">
        <v>53.61</v>
      </c>
      <c r="P7" s="391">
        <v>72.78</v>
      </c>
      <c r="Q7" s="391">
        <v>63.44</v>
      </c>
      <c r="R7" s="391">
        <v>29</v>
      </c>
      <c r="S7" s="391">
        <v>8.76</v>
      </c>
      <c r="T7" s="391">
        <v>28.45</v>
      </c>
      <c r="U7" s="391">
        <v>16.420000000000002</v>
      </c>
      <c r="V7" s="391">
        <v>14.77</v>
      </c>
      <c r="W7" s="391">
        <v>16.420000000000002</v>
      </c>
      <c r="X7" s="391">
        <v>1.0900000000000001</v>
      </c>
      <c r="Y7" s="391">
        <v>68.97</v>
      </c>
      <c r="Z7" s="391">
        <v>10.95</v>
      </c>
      <c r="AA7" s="391">
        <v>8.76</v>
      </c>
      <c r="AB7" s="391">
        <v>20.79</v>
      </c>
      <c r="AC7" s="392">
        <v>30.64</v>
      </c>
      <c r="AD7" s="392">
        <v>3.83</v>
      </c>
      <c r="AE7" s="392">
        <v>4.37</v>
      </c>
      <c r="AF7" s="392">
        <v>14.77</v>
      </c>
      <c r="AG7" s="392"/>
      <c r="AH7" s="110">
        <f>SUM(C7:AG7)</f>
        <v>653.88</v>
      </c>
      <c r="AJ7" s="137" t="s">
        <v>60</v>
      </c>
      <c r="AK7" s="138" t="s">
        <v>223</v>
      </c>
      <c r="AL7" s="386">
        <f>SUM(C7:AB7)</f>
        <v>600.27</v>
      </c>
      <c r="AM7" s="387">
        <f>SUM(AC7:AG7)</f>
        <v>53.61</v>
      </c>
    </row>
    <row r="8" spans="1:40" ht="16.5" thickBot="1" x14ac:dyDescent="0.3">
      <c r="A8" s="90" t="s">
        <v>60</v>
      </c>
      <c r="B8" s="91" t="s">
        <v>55</v>
      </c>
      <c r="C8" s="481">
        <v>149.9</v>
      </c>
      <c r="D8" s="481">
        <v>43.78</v>
      </c>
      <c r="E8" s="481">
        <v>95.23</v>
      </c>
      <c r="F8" s="481">
        <v>138.41</v>
      </c>
      <c r="G8" s="481">
        <v>0</v>
      </c>
      <c r="H8" s="481">
        <v>13.12</v>
      </c>
      <c r="I8" s="481">
        <v>75.52</v>
      </c>
      <c r="J8" s="481">
        <v>27.36</v>
      </c>
      <c r="K8" s="481">
        <v>14.21</v>
      </c>
      <c r="L8" s="481">
        <v>68.959999999999994</v>
      </c>
      <c r="M8" s="481">
        <v>105.08</v>
      </c>
      <c r="N8" s="481">
        <v>20.79</v>
      </c>
      <c r="O8" s="481">
        <v>447.1</v>
      </c>
      <c r="P8" s="481">
        <v>154.33000000000001</v>
      </c>
      <c r="Q8" s="481">
        <v>0</v>
      </c>
      <c r="R8" s="481">
        <v>53.64</v>
      </c>
      <c r="S8" s="481">
        <v>4.38</v>
      </c>
      <c r="T8" s="481">
        <v>41.57</v>
      </c>
      <c r="U8" s="481">
        <v>0</v>
      </c>
      <c r="V8" s="481">
        <v>14.23</v>
      </c>
      <c r="W8" s="481">
        <v>53.64</v>
      </c>
      <c r="X8" s="481">
        <v>42.67</v>
      </c>
      <c r="Y8" s="481">
        <v>24.08</v>
      </c>
      <c r="Z8" s="481">
        <v>0</v>
      </c>
      <c r="AA8" s="481">
        <v>114.38</v>
      </c>
      <c r="AB8" s="488">
        <v>0</v>
      </c>
      <c r="AC8" s="488">
        <v>131.87</v>
      </c>
      <c r="AD8" s="488">
        <v>129.13</v>
      </c>
      <c r="AE8" s="488">
        <v>42.14</v>
      </c>
      <c r="AF8" s="488">
        <v>45.97</v>
      </c>
      <c r="AG8" s="390"/>
      <c r="AH8" s="111">
        <f t="shared" ref="AH8" si="3">SUM(C8:AG8)</f>
        <v>2051.4900000000002</v>
      </c>
      <c r="AJ8" s="129" t="s">
        <v>60</v>
      </c>
      <c r="AK8" s="130" t="s">
        <v>224</v>
      </c>
      <c r="AL8" s="290">
        <f>SUM(C8:AA8)-AL13</f>
        <v>1651.2600000000002</v>
      </c>
      <c r="AM8" s="291">
        <f>SUM(AB8:AG8)-AM13</f>
        <v>338.64</v>
      </c>
    </row>
    <row r="9" spans="1:40" ht="16.5" thickBot="1" x14ac:dyDescent="0.3">
      <c r="A9" s="202"/>
      <c r="B9" s="193" t="s">
        <v>65</v>
      </c>
      <c r="C9" s="107">
        <f t="shared" ref="C9:AG9" si="4">SUM(C7:C8)</f>
        <v>150.99</v>
      </c>
      <c r="D9" s="107">
        <f t="shared" si="4"/>
        <v>134.62</v>
      </c>
      <c r="E9" s="107">
        <f t="shared" si="4"/>
        <v>98.51</v>
      </c>
      <c r="F9" s="107">
        <f t="shared" si="4"/>
        <v>138.41</v>
      </c>
      <c r="G9" s="107">
        <f t="shared" si="4"/>
        <v>6.57</v>
      </c>
      <c r="H9" s="107">
        <f t="shared" si="4"/>
        <v>13.12</v>
      </c>
      <c r="I9" s="107">
        <f t="shared" si="4"/>
        <v>75.52</v>
      </c>
      <c r="J9" s="107">
        <f t="shared" si="4"/>
        <v>41.59</v>
      </c>
      <c r="K9" s="107">
        <f t="shared" si="4"/>
        <v>17.490000000000002</v>
      </c>
      <c r="L9" s="107">
        <f t="shared" si="4"/>
        <v>68.959999999999994</v>
      </c>
      <c r="M9" s="107">
        <f t="shared" si="4"/>
        <v>119.32</v>
      </c>
      <c r="N9" s="107">
        <f t="shared" si="4"/>
        <v>73.319999999999993</v>
      </c>
      <c r="O9" s="107">
        <f t="shared" si="4"/>
        <v>500.71000000000004</v>
      </c>
      <c r="P9" s="107">
        <f t="shared" si="4"/>
        <v>227.11</v>
      </c>
      <c r="Q9" s="107">
        <f t="shared" si="4"/>
        <v>63.44</v>
      </c>
      <c r="R9" s="107">
        <f t="shared" si="4"/>
        <v>82.64</v>
      </c>
      <c r="S9" s="107">
        <f t="shared" si="4"/>
        <v>13.14</v>
      </c>
      <c r="T9" s="107">
        <f t="shared" si="4"/>
        <v>70.02</v>
      </c>
      <c r="U9" s="107">
        <f t="shared" si="4"/>
        <v>16.420000000000002</v>
      </c>
      <c r="V9" s="107">
        <f t="shared" si="4"/>
        <v>29</v>
      </c>
      <c r="W9" s="107">
        <f t="shared" si="4"/>
        <v>70.06</v>
      </c>
      <c r="X9" s="107">
        <f t="shared" si="4"/>
        <v>43.760000000000005</v>
      </c>
      <c r="Y9" s="107">
        <f t="shared" si="4"/>
        <v>93.05</v>
      </c>
      <c r="Z9" s="107">
        <f t="shared" si="4"/>
        <v>10.95</v>
      </c>
      <c r="AA9" s="107">
        <f t="shared" si="4"/>
        <v>123.14</v>
      </c>
      <c r="AB9" s="107">
        <f t="shared" si="4"/>
        <v>20.79</v>
      </c>
      <c r="AC9" s="107">
        <f t="shared" si="4"/>
        <v>162.51</v>
      </c>
      <c r="AD9" s="107">
        <f t="shared" si="4"/>
        <v>132.96</v>
      </c>
      <c r="AE9" s="107">
        <f t="shared" si="4"/>
        <v>46.51</v>
      </c>
      <c r="AF9" s="107">
        <f t="shared" si="4"/>
        <v>60.739999999999995</v>
      </c>
      <c r="AG9" s="107">
        <f t="shared" si="4"/>
        <v>0</v>
      </c>
      <c r="AH9" s="110">
        <f>SUM(C9:AG9)</f>
        <v>2705.3700000000008</v>
      </c>
      <c r="AI9" s="59"/>
      <c r="AJ9" s="497" t="s">
        <v>76</v>
      </c>
      <c r="AK9" s="498"/>
      <c r="AL9" s="499">
        <f>SUM(AL7:AM8)</f>
        <v>2643.78</v>
      </c>
      <c r="AM9" s="500"/>
      <c r="AN9" s="273">
        <f>AL9-AH9+AL13+AM13</f>
        <v>-6.0396132539608516E-13</v>
      </c>
    </row>
    <row r="10" spans="1:40" ht="16.5" thickBot="1" x14ac:dyDescent="0.3">
      <c r="A10" s="95"/>
      <c r="B10" s="96"/>
      <c r="C10" s="97"/>
      <c r="D10" s="96"/>
      <c r="E10" s="96"/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  <c r="V10" s="96"/>
      <c r="W10" s="96"/>
      <c r="X10" s="96"/>
      <c r="Y10" s="96"/>
      <c r="Z10" s="96"/>
      <c r="AA10" s="96"/>
      <c r="AB10" s="96"/>
      <c r="AC10" s="96"/>
      <c r="AD10" s="96"/>
      <c r="AE10" s="96"/>
      <c r="AF10" s="96"/>
      <c r="AG10" s="96"/>
      <c r="AH10" s="98"/>
      <c r="AJ10" s="268"/>
      <c r="AK10" s="268"/>
      <c r="AL10" s="99"/>
      <c r="AM10" s="190"/>
      <c r="AN10" s="192"/>
    </row>
    <row r="11" spans="1:40" s="99" customFormat="1" ht="16.5" thickBot="1" x14ac:dyDescent="0.3">
      <c r="A11" s="275" t="s">
        <v>225</v>
      </c>
      <c r="B11" s="101" t="s">
        <v>33</v>
      </c>
      <c r="C11" s="114">
        <f t="shared" ref="C11:AG11" si="5">SUM(C3:C4)-SUM(C7:C8)</f>
        <v>0</v>
      </c>
      <c r="D11" s="114">
        <f t="shared" si="5"/>
        <v>0</v>
      </c>
      <c r="E11" s="114">
        <f t="shared" si="5"/>
        <v>0</v>
      </c>
      <c r="F11" s="114">
        <f t="shared" si="5"/>
        <v>0</v>
      </c>
      <c r="G11" s="114">
        <f t="shared" si="5"/>
        <v>0</v>
      </c>
      <c r="H11" s="114">
        <f t="shared" si="5"/>
        <v>0</v>
      </c>
      <c r="I11" s="114">
        <f t="shared" si="5"/>
        <v>0</v>
      </c>
      <c r="J11" s="114">
        <f t="shared" si="5"/>
        <v>0</v>
      </c>
      <c r="K11" s="114">
        <f t="shared" si="5"/>
        <v>0</v>
      </c>
      <c r="L11" s="114">
        <f t="shared" si="5"/>
        <v>21.89</v>
      </c>
      <c r="M11" s="114">
        <f t="shared" si="5"/>
        <v>0</v>
      </c>
      <c r="N11" s="114">
        <f t="shared" si="5"/>
        <v>0</v>
      </c>
      <c r="O11" s="114">
        <f t="shared" si="5"/>
        <v>0</v>
      </c>
      <c r="P11" s="114">
        <f t="shared" si="5"/>
        <v>0</v>
      </c>
      <c r="Q11" s="114">
        <f t="shared" si="5"/>
        <v>0</v>
      </c>
      <c r="R11" s="114">
        <f t="shared" si="5"/>
        <v>0</v>
      </c>
      <c r="S11" s="114">
        <f t="shared" si="5"/>
        <v>0</v>
      </c>
      <c r="T11" s="114">
        <f t="shared" si="5"/>
        <v>0</v>
      </c>
      <c r="U11" s="114">
        <f t="shared" si="5"/>
        <v>0</v>
      </c>
      <c r="V11" s="114">
        <f t="shared" si="5"/>
        <v>0</v>
      </c>
      <c r="W11" s="114">
        <f t="shared" si="5"/>
        <v>0</v>
      </c>
      <c r="X11" s="114">
        <f t="shared" si="5"/>
        <v>0</v>
      </c>
      <c r="Y11" s="114">
        <f t="shared" si="5"/>
        <v>0</v>
      </c>
      <c r="Z11" s="114">
        <f t="shared" si="5"/>
        <v>0</v>
      </c>
      <c r="AA11" s="114">
        <f t="shared" si="5"/>
        <v>0</v>
      </c>
      <c r="AB11" s="114">
        <f t="shared" si="5"/>
        <v>0</v>
      </c>
      <c r="AC11" s="114">
        <f t="shared" si="5"/>
        <v>0</v>
      </c>
      <c r="AD11" s="114">
        <f t="shared" si="5"/>
        <v>0</v>
      </c>
      <c r="AE11" s="114">
        <f t="shared" si="5"/>
        <v>0</v>
      </c>
      <c r="AF11" s="114">
        <f t="shared" si="5"/>
        <v>0</v>
      </c>
      <c r="AG11" s="114">
        <f t="shared" si="5"/>
        <v>0</v>
      </c>
      <c r="AH11" s="115">
        <f>SUM(C11:AG11)</f>
        <v>21.89</v>
      </c>
      <c r="AI11" s="62"/>
      <c r="AJ11" s="467" t="s">
        <v>225</v>
      </c>
      <c r="AK11" s="212" t="s">
        <v>226</v>
      </c>
      <c r="AL11" s="271">
        <f>AH11</f>
        <v>21.89</v>
      </c>
      <c r="AM11" s="272"/>
      <c r="AN11" s="274" t="s">
        <v>129</v>
      </c>
    </row>
    <row r="12" spans="1:40" s="102" customFormat="1" ht="16.5" thickBot="1" x14ac:dyDescent="0.3">
      <c r="A12" s="224"/>
      <c r="B12" s="225"/>
      <c r="C12" s="225"/>
      <c r="D12" s="225"/>
      <c r="E12" s="225"/>
      <c r="F12" s="225"/>
      <c r="G12" s="225"/>
      <c r="H12" s="225"/>
      <c r="I12" s="225"/>
      <c r="J12" s="225"/>
      <c r="K12" s="225"/>
      <c r="L12" s="225"/>
      <c r="M12" s="225"/>
      <c r="N12" s="225"/>
      <c r="O12" s="225"/>
      <c r="P12" s="225"/>
      <c r="Q12" s="225"/>
      <c r="R12" s="225"/>
      <c r="S12" s="225"/>
      <c r="T12" s="225"/>
      <c r="U12" s="225"/>
      <c r="V12" s="225"/>
      <c r="W12" s="225"/>
      <c r="X12" s="225"/>
      <c r="Y12" s="225"/>
      <c r="Z12" s="225"/>
      <c r="AA12" s="225"/>
      <c r="AB12" s="225"/>
      <c r="AC12" s="225"/>
      <c r="AD12" s="225"/>
      <c r="AE12" s="225"/>
      <c r="AF12" s="225"/>
      <c r="AG12" s="225"/>
      <c r="AH12" s="226"/>
      <c r="AI12" s="62"/>
      <c r="AJ12" s="468"/>
      <c r="AK12" s="225"/>
      <c r="AL12" s="99"/>
      <c r="AM12" s="102">
        <f>AL9+AL11+AM11+AL13+AM13</f>
        <v>2727.2599999999998</v>
      </c>
      <c r="AN12" s="102">
        <f>AM12-AH5</f>
        <v>0</v>
      </c>
    </row>
    <row r="13" spans="1:40" s="99" customFormat="1" ht="16.5" thickBot="1" x14ac:dyDescent="0.3">
      <c r="A13" s="467" t="s">
        <v>227</v>
      </c>
      <c r="B13" s="101" t="s">
        <v>202</v>
      </c>
      <c r="C13" s="482">
        <v>4.5</v>
      </c>
      <c r="D13" s="482">
        <v>1.31</v>
      </c>
      <c r="E13" s="482">
        <v>2.86</v>
      </c>
      <c r="F13" s="482">
        <v>4.1500000000000004</v>
      </c>
      <c r="G13" s="482">
        <v>0</v>
      </c>
      <c r="H13" s="482">
        <v>0.39</v>
      </c>
      <c r="I13" s="482">
        <v>2.27</v>
      </c>
      <c r="J13" s="482">
        <v>0.82</v>
      </c>
      <c r="K13" s="482">
        <v>0.43</v>
      </c>
      <c r="L13" s="482">
        <v>2.0699999999999998</v>
      </c>
      <c r="M13" s="482">
        <v>3.16</v>
      </c>
      <c r="N13" s="482">
        <v>0.63</v>
      </c>
      <c r="O13" s="482">
        <v>13.42</v>
      </c>
      <c r="P13" s="482">
        <v>4.6399999999999997</v>
      </c>
      <c r="Q13" s="482">
        <v>0</v>
      </c>
      <c r="R13" s="482">
        <v>1.62</v>
      </c>
      <c r="S13" s="482">
        <v>0.13</v>
      </c>
      <c r="T13" s="482">
        <v>1.25</v>
      </c>
      <c r="U13" s="482">
        <v>0</v>
      </c>
      <c r="V13" s="482">
        <v>0.43</v>
      </c>
      <c r="W13" s="482">
        <v>1.61</v>
      </c>
      <c r="X13" s="482">
        <v>1.28</v>
      </c>
      <c r="Y13" s="482">
        <v>0.72</v>
      </c>
      <c r="Z13" s="482">
        <v>0</v>
      </c>
      <c r="AA13" s="482">
        <v>3.43</v>
      </c>
      <c r="AB13" s="489">
        <v>0</v>
      </c>
      <c r="AC13" s="489">
        <v>3.95</v>
      </c>
      <c r="AD13" s="489">
        <v>3.88</v>
      </c>
      <c r="AE13" s="489">
        <v>1.26</v>
      </c>
      <c r="AF13" s="489">
        <v>1.38</v>
      </c>
      <c r="AG13" s="469"/>
      <c r="AH13" s="470">
        <f t="shared" ref="AH13" si="6">SUM(C13:AG13)</f>
        <v>61.59</v>
      </c>
      <c r="AI13" s="62"/>
      <c r="AJ13" s="467" t="s">
        <v>227</v>
      </c>
      <c r="AK13" s="212" t="s">
        <v>204</v>
      </c>
      <c r="AL13" s="271">
        <f>SUM(C13:AA13)</f>
        <v>51.12</v>
      </c>
      <c r="AM13" s="272">
        <f>SUM(AB13:AG13)</f>
        <v>10.469999999999999</v>
      </c>
      <c r="AN13" s="274"/>
    </row>
    <row r="14" spans="1:40" s="102" customFormat="1" x14ac:dyDescent="0.25">
      <c r="A14" s="224"/>
      <c r="B14" s="225"/>
      <c r="C14" s="225"/>
      <c r="D14" s="225"/>
      <c r="E14" s="225"/>
      <c r="F14" s="225"/>
      <c r="G14" s="225"/>
      <c r="H14" s="225"/>
      <c r="I14" s="225"/>
      <c r="J14" s="225"/>
      <c r="K14" s="225"/>
      <c r="L14" s="225"/>
      <c r="M14" s="225"/>
      <c r="N14" s="225"/>
      <c r="O14" s="225"/>
      <c r="P14" s="225"/>
      <c r="Q14" s="225"/>
      <c r="R14" s="225"/>
      <c r="S14" s="225"/>
      <c r="T14" s="225"/>
      <c r="U14" s="225"/>
      <c r="V14" s="225"/>
      <c r="W14" s="225"/>
      <c r="X14" s="225"/>
      <c r="Y14" s="225"/>
      <c r="Z14" s="225"/>
      <c r="AA14" s="225"/>
      <c r="AB14" s="225"/>
      <c r="AC14" s="225"/>
      <c r="AD14" s="225"/>
      <c r="AE14" s="225"/>
      <c r="AF14" s="225"/>
      <c r="AG14" s="225"/>
      <c r="AH14" s="226"/>
      <c r="AI14" s="62"/>
      <c r="AJ14" s="224"/>
      <c r="AK14" s="225"/>
      <c r="AL14" s="99"/>
    </row>
  </sheetData>
  <sheetProtection formatCells="0" formatColumns="0" formatRows="0" insertColumns="0" insertRows="0" insertHyperlinks="0" deleteColumns="0" deleteRows="0" sort="0" autoFilter="0" pivotTables="0"/>
  <mergeCells count="2">
    <mergeCell ref="AJ9:AK9"/>
    <mergeCell ref="AL9:AM9"/>
  </mergeCells>
  <conditionalFormatting sqref="C11:AG11">
    <cfRule type="cellIs" dxfId="5" priority="4" operator="notEqual">
      <formula>0</formula>
    </cfRule>
  </conditionalFormatting>
  <conditionalFormatting sqref="C11:AG11">
    <cfRule type="cellIs" dxfId="4" priority="3" operator="notEqual">
      <formula>0</formula>
    </cfRule>
  </conditionalFormatting>
  <conditionalFormatting sqref="AN9">
    <cfRule type="cellIs" dxfId="3" priority="1" operator="lessThan">
      <formula>0</formula>
    </cfRule>
    <cfRule type="cellIs" dxfId="2" priority="2" operator="greaterThan">
      <formula>0</formula>
    </cfRule>
  </conditionalFormatting>
  <pageMargins left="0" right="0" top="0.75" bottom="0.75" header="0.3" footer="0.3"/>
  <pageSetup paperSize="17" scale="58" orientation="landscape" verticalDpi="300" r:id="rId1"/>
  <headerFooter>
    <oddFooter>&amp;L&amp;8&amp;Z&amp;F&amp;R&amp;8&amp;A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N46"/>
  <sheetViews>
    <sheetView tabSelected="1" workbookViewId="0">
      <pane xSplit="2" ySplit="2" topLeftCell="T15" activePane="bottomRight" state="frozen"/>
      <selection pane="topRight" activeCell="C1" sqref="C1"/>
      <selection pane="bottomLeft" activeCell="A3" sqref="A3"/>
      <selection pane="bottomRight" activeCell="AL20" sqref="AL20"/>
    </sheetView>
  </sheetViews>
  <sheetFormatPr defaultColWidth="9.140625" defaultRowHeight="15" x14ac:dyDescent="0.25"/>
  <cols>
    <col min="1" max="1" width="10.42578125" style="59" bestFit="1" customWidth="1"/>
    <col min="2" max="2" width="21.85546875" style="59" bestFit="1" customWidth="1"/>
    <col min="3" max="5" width="9.5703125" style="59" bestFit="1" customWidth="1"/>
    <col min="6" max="6" width="9" style="59" customWidth="1"/>
    <col min="7" max="32" width="9.5703125" style="59" bestFit="1" customWidth="1"/>
    <col min="33" max="33" width="9.5703125" style="59" hidden="1" customWidth="1"/>
    <col min="34" max="34" width="12.5703125" style="59" bestFit="1" customWidth="1"/>
    <col min="35" max="35" width="2.42578125" style="59" customWidth="1"/>
    <col min="36" max="36" width="10.42578125" style="59" bestFit="1" customWidth="1"/>
    <col min="37" max="37" width="27.7109375" style="59" bestFit="1" customWidth="1"/>
    <col min="38" max="38" width="11.28515625" style="59" customWidth="1"/>
    <col min="39" max="39" width="11.85546875" style="59" bestFit="1" customWidth="1"/>
    <col min="40" max="40" width="9.7109375" style="59" bestFit="1" customWidth="1"/>
    <col min="41" max="16384" width="9.140625" style="59"/>
  </cols>
  <sheetData>
    <row r="1" spans="1:37" ht="15.75" thickBot="1" x14ac:dyDescent="0.3">
      <c r="A1" s="170" t="s">
        <v>118</v>
      </c>
      <c r="B1" s="285" t="str">
        <f>'Cash Flow'!C1</f>
        <v>September</v>
      </c>
      <c r="C1" s="228" t="str">
        <f t="array" ref="C1:AG1">TRANSPOSE('Cash Flow'!B8:B38)</f>
        <v>Thu</v>
      </c>
      <c r="D1" s="228" t="str">
        <v>Fri</v>
      </c>
      <c r="E1" s="228" t="str">
        <v>Sat</v>
      </c>
      <c r="F1" s="228" t="str">
        <v>Sun</v>
      </c>
      <c r="G1" s="228" t="str">
        <v>Mon</v>
      </c>
      <c r="H1" s="228" t="str">
        <v>Tue</v>
      </c>
      <c r="I1" s="228" t="str">
        <v>Wed</v>
      </c>
      <c r="J1" s="228" t="str">
        <v>Thu</v>
      </c>
      <c r="K1" s="228" t="str">
        <v>Fri</v>
      </c>
      <c r="L1" s="228" t="str">
        <v>Sat</v>
      </c>
      <c r="M1" s="228" t="str">
        <v>Sun</v>
      </c>
      <c r="N1" s="228" t="str">
        <v>Mon</v>
      </c>
      <c r="O1" s="228" t="str">
        <v>Tue</v>
      </c>
      <c r="P1" s="228" t="str">
        <v>Wed</v>
      </c>
      <c r="Q1" s="228" t="str">
        <v>Thu</v>
      </c>
      <c r="R1" s="228" t="str">
        <v>Fri</v>
      </c>
      <c r="S1" s="228" t="str">
        <v>Sat</v>
      </c>
      <c r="T1" s="228" t="str">
        <v>Sun</v>
      </c>
      <c r="U1" s="228" t="str">
        <v>Mon</v>
      </c>
      <c r="V1" s="228" t="str">
        <v>Tue</v>
      </c>
      <c r="W1" s="228" t="str">
        <v>Wed</v>
      </c>
      <c r="X1" s="228" t="str">
        <v>Thu</v>
      </c>
      <c r="Y1" s="228" t="str">
        <v>Fri</v>
      </c>
      <c r="Z1" s="228" t="str">
        <v>Sat</v>
      </c>
      <c r="AA1" s="228" t="str">
        <v>Sun</v>
      </c>
      <c r="AB1" s="228" t="str">
        <v>Mon</v>
      </c>
      <c r="AC1" s="228" t="str">
        <v>Tue</v>
      </c>
      <c r="AD1" s="228" t="str">
        <v>Wed</v>
      </c>
      <c r="AE1" s="228" t="str">
        <v>Thu</v>
      </c>
      <c r="AF1" s="228" t="str">
        <v>Fri</v>
      </c>
      <c r="AG1" s="228" t="str">
        <v>Sat</v>
      </c>
    </row>
    <row r="2" spans="1:37" ht="16.5" thickBot="1" x14ac:dyDescent="0.3">
      <c r="A2" s="117" t="s">
        <v>66</v>
      </c>
      <c r="B2" s="118" t="s">
        <v>131</v>
      </c>
      <c r="C2" s="106">
        <f>'Cash Flow'!A8</f>
        <v>44805</v>
      </c>
      <c r="D2" s="106">
        <f t="shared" ref="D2:AG2" si="0">C2+1</f>
        <v>44806</v>
      </c>
      <c r="E2" s="106">
        <f t="shared" si="0"/>
        <v>44807</v>
      </c>
      <c r="F2" s="106">
        <f t="shared" si="0"/>
        <v>44808</v>
      </c>
      <c r="G2" s="106">
        <f t="shared" si="0"/>
        <v>44809</v>
      </c>
      <c r="H2" s="106">
        <f t="shared" si="0"/>
        <v>44810</v>
      </c>
      <c r="I2" s="106">
        <f t="shared" si="0"/>
        <v>44811</v>
      </c>
      <c r="J2" s="106">
        <f t="shared" si="0"/>
        <v>44812</v>
      </c>
      <c r="K2" s="106">
        <f t="shared" si="0"/>
        <v>44813</v>
      </c>
      <c r="L2" s="106">
        <f t="shared" si="0"/>
        <v>44814</v>
      </c>
      <c r="M2" s="106">
        <f t="shared" si="0"/>
        <v>44815</v>
      </c>
      <c r="N2" s="106">
        <f t="shared" si="0"/>
        <v>44816</v>
      </c>
      <c r="O2" s="106">
        <f t="shared" si="0"/>
        <v>44817</v>
      </c>
      <c r="P2" s="106">
        <f t="shared" si="0"/>
        <v>44818</v>
      </c>
      <c r="Q2" s="106">
        <f t="shared" si="0"/>
        <v>44819</v>
      </c>
      <c r="R2" s="106">
        <f t="shared" si="0"/>
        <v>44820</v>
      </c>
      <c r="S2" s="106">
        <f t="shared" si="0"/>
        <v>44821</v>
      </c>
      <c r="T2" s="106">
        <f t="shared" si="0"/>
        <v>44822</v>
      </c>
      <c r="U2" s="106">
        <f t="shared" si="0"/>
        <v>44823</v>
      </c>
      <c r="V2" s="106">
        <f t="shared" si="0"/>
        <v>44824</v>
      </c>
      <c r="W2" s="106">
        <f t="shared" si="0"/>
        <v>44825</v>
      </c>
      <c r="X2" s="106">
        <f t="shared" si="0"/>
        <v>44826</v>
      </c>
      <c r="Y2" s="106">
        <f t="shared" si="0"/>
        <v>44827</v>
      </c>
      <c r="Z2" s="106">
        <f t="shared" si="0"/>
        <v>44828</v>
      </c>
      <c r="AA2" s="106">
        <f t="shared" si="0"/>
        <v>44829</v>
      </c>
      <c r="AB2" s="106">
        <f t="shared" si="0"/>
        <v>44830</v>
      </c>
      <c r="AC2" s="106">
        <f t="shared" si="0"/>
        <v>44831</v>
      </c>
      <c r="AD2" s="106">
        <f t="shared" si="0"/>
        <v>44832</v>
      </c>
      <c r="AE2" s="106">
        <f t="shared" si="0"/>
        <v>44833</v>
      </c>
      <c r="AF2" s="106">
        <f t="shared" si="0"/>
        <v>44834</v>
      </c>
      <c r="AG2" s="106">
        <f t="shared" si="0"/>
        <v>44835</v>
      </c>
      <c r="AH2" s="119" t="s">
        <v>59</v>
      </c>
      <c r="AJ2" s="63" t="s">
        <v>66</v>
      </c>
      <c r="AK2" s="64" t="s">
        <v>131</v>
      </c>
    </row>
    <row r="3" spans="1:37" ht="15.75" x14ac:dyDescent="0.25">
      <c r="A3" s="120" t="s">
        <v>61</v>
      </c>
      <c r="B3" s="121" t="s">
        <v>83</v>
      </c>
      <c r="C3" s="113">
        <v>11.62</v>
      </c>
      <c r="D3" s="113">
        <v>6.63</v>
      </c>
      <c r="E3" s="113">
        <v>33.6</v>
      </c>
      <c r="F3" s="113">
        <v>11.05</v>
      </c>
      <c r="G3" s="113">
        <v>14.38</v>
      </c>
      <c r="H3" s="113">
        <v>13.65</v>
      </c>
      <c r="I3" s="113">
        <v>13.56</v>
      </c>
      <c r="J3" s="113">
        <v>12.19</v>
      </c>
      <c r="K3" s="113">
        <v>15.09</v>
      </c>
      <c r="L3" s="113">
        <v>11.5</v>
      </c>
      <c r="M3" s="113">
        <v>12.65</v>
      </c>
      <c r="N3" s="113">
        <v>3.33</v>
      </c>
      <c r="O3" s="113">
        <v>19.989999999999998</v>
      </c>
      <c r="P3" s="113">
        <v>14.1</v>
      </c>
      <c r="Q3" s="113">
        <v>21.41</v>
      </c>
      <c r="R3" s="113">
        <v>9.74</v>
      </c>
      <c r="S3" s="113">
        <v>14.73</v>
      </c>
      <c r="T3" s="113">
        <v>7.83</v>
      </c>
      <c r="U3" s="113">
        <v>12.01</v>
      </c>
      <c r="V3" s="113">
        <v>19.260000000000002</v>
      </c>
      <c r="W3" s="113">
        <v>12.49</v>
      </c>
      <c r="X3" s="113">
        <v>9.25</v>
      </c>
      <c r="Y3" s="113">
        <v>16.98</v>
      </c>
      <c r="Z3" s="113">
        <v>24.39</v>
      </c>
      <c r="AA3" s="113">
        <v>14.16</v>
      </c>
      <c r="AB3" s="113">
        <v>12.75</v>
      </c>
      <c r="AC3" s="113">
        <v>8.18</v>
      </c>
      <c r="AD3" s="113">
        <v>8.81</v>
      </c>
      <c r="AE3" s="113">
        <v>8.0500000000000007</v>
      </c>
      <c r="AF3" s="113">
        <v>16.43</v>
      </c>
      <c r="AG3" s="113"/>
      <c r="AH3" s="108">
        <f t="shared" ref="AH3:AH15" si="1">SUM(C3:AG3)</f>
        <v>409.81000000000012</v>
      </c>
      <c r="AJ3" s="160" t="s">
        <v>61</v>
      </c>
      <c r="AK3" s="161" t="s">
        <v>83</v>
      </c>
    </row>
    <row r="4" spans="1:37" ht="15.75" x14ac:dyDescent="0.25">
      <c r="A4" s="122" t="s">
        <v>69</v>
      </c>
      <c r="B4" s="123" t="s">
        <v>70</v>
      </c>
      <c r="C4" s="124">
        <v>734</v>
      </c>
      <c r="D4" s="124">
        <v>789</v>
      </c>
      <c r="E4" s="124">
        <v>2332</v>
      </c>
      <c r="F4" s="124">
        <v>2343</v>
      </c>
      <c r="G4" s="124">
        <v>1671</v>
      </c>
      <c r="H4" s="124">
        <v>813</v>
      </c>
      <c r="I4" s="124">
        <v>786</v>
      </c>
      <c r="J4" s="124">
        <v>677</v>
      </c>
      <c r="K4" s="124">
        <v>606</v>
      </c>
      <c r="L4" s="124">
        <v>1141</v>
      </c>
      <c r="M4" s="124">
        <v>1174</v>
      </c>
      <c r="N4" s="124">
        <v>510</v>
      </c>
      <c r="O4" s="124">
        <f>958-25</f>
        <v>933</v>
      </c>
      <c r="P4" s="124">
        <v>1018</v>
      </c>
      <c r="Q4" s="124">
        <v>953</v>
      </c>
      <c r="R4" s="124">
        <v>1067</v>
      </c>
      <c r="S4" s="124">
        <f>1137-15</f>
        <v>1122</v>
      </c>
      <c r="T4" s="124">
        <v>1051</v>
      </c>
      <c r="U4" s="124">
        <v>1062</v>
      </c>
      <c r="V4" s="124">
        <v>1044</v>
      </c>
      <c r="W4" s="124">
        <v>783</v>
      </c>
      <c r="X4" s="124">
        <v>511</v>
      </c>
      <c r="Y4" s="124">
        <v>842</v>
      </c>
      <c r="Z4" s="124">
        <f>1584-20</f>
        <v>1564</v>
      </c>
      <c r="AA4" s="124">
        <v>1027</v>
      </c>
      <c r="AB4" s="124">
        <v>1086</v>
      </c>
      <c r="AC4" s="124">
        <v>768</v>
      </c>
      <c r="AD4" s="124">
        <v>935</v>
      </c>
      <c r="AE4" s="124">
        <f>1015-14</f>
        <v>1001</v>
      </c>
      <c r="AF4" s="124">
        <v>1020</v>
      </c>
      <c r="AG4" s="124"/>
      <c r="AH4" s="108">
        <f t="shared" si="1"/>
        <v>31363</v>
      </c>
      <c r="AJ4" s="162" t="s">
        <v>69</v>
      </c>
      <c r="AK4" s="163" t="s">
        <v>70</v>
      </c>
    </row>
    <row r="5" spans="1:37" ht="15.75" x14ac:dyDescent="0.25">
      <c r="A5" s="122" t="s">
        <v>80</v>
      </c>
      <c r="B5" s="123" t="s">
        <v>82</v>
      </c>
      <c r="C5" s="125"/>
      <c r="D5" s="125"/>
      <c r="E5" s="125"/>
      <c r="F5" s="125"/>
      <c r="G5" s="125"/>
      <c r="H5" s="125">
        <v>20</v>
      </c>
      <c r="I5" s="125"/>
      <c r="J5" s="125"/>
      <c r="K5" s="125"/>
      <c r="L5" s="125">
        <v>25</v>
      </c>
      <c r="M5" s="125"/>
      <c r="N5" s="125">
        <v>70</v>
      </c>
      <c r="O5" s="125"/>
      <c r="P5" s="125"/>
      <c r="Q5" s="125"/>
      <c r="R5" s="125"/>
      <c r="S5" s="125"/>
      <c r="T5" s="125"/>
      <c r="U5" s="125"/>
      <c r="V5" s="125">
        <v>30</v>
      </c>
      <c r="W5" s="125"/>
      <c r="X5" s="125"/>
      <c r="Y5" s="125"/>
      <c r="Z5" s="125"/>
      <c r="AA5" s="125"/>
      <c r="AB5" s="125"/>
      <c r="AC5" s="125">
        <v>231.18</v>
      </c>
      <c r="AD5" s="125"/>
      <c r="AE5" s="125">
        <v>35</v>
      </c>
      <c r="AF5" s="125">
        <v>74.06</v>
      </c>
      <c r="AG5" s="125"/>
      <c r="AH5" s="108">
        <f t="shared" si="1"/>
        <v>485.24</v>
      </c>
      <c r="AJ5" s="162" t="s">
        <v>80</v>
      </c>
      <c r="AK5" s="163" t="s">
        <v>82</v>
      </c>
    </row>
    <row r="6" spans="1:37" ht="15.75" x14ac:dyDescent="0.25">
      <c r="A6" s="122" t="s">
        <v>79</v>
      </c>
      <c r="B6" s="123" t="s">
        <v>210</v>
      </c>
      <c r="C6" s="125">
        <v>122.75</v>
      </c>
      <c r="D6" s="125">
        <v>70.06</v>
      </c>
      <c r="E6" s="125">
        <v>355.92</v>
      </c>
      <c r="F6" s="125">
        <v>116.8</v>
      </c>
      <c r="G6" s="125">
        <v>152.41999999999999</v>
      </c>
      <c r="H6" s="125">
        <v>144.31</v>
      </c>
      <c r="I6" s="125">
        <v>143.32</v>
      </c>
      <c r="J6" s="125">
        <v>128.65</v>
      </c>
      <c r="K6" s="125">
        <v>149.83000000000001</v>
      </c>
      <c r="L6" s="125">
        <v>121.56</v>
      </c>
      <c r="M6" s="125">
        <v>133.97999999999999</v>
      </c>
      <c r="N6" s="125">
        <v>35.25</v>
      </c>
      <c r="O6" s="125">
        <v>211.47</v>
      </c>
      <c r="P6" s="125">
        <v>149.11000000000001</v>
      </c>
      <c r="Q6" s="125">
        <v>226.39</v>
      </c>
      <c r="R6" s="125">
        <v>103.04</v>
      </c>
      <c r="S6" s="125">
        <v>155.80000000000001</v>
      </c>
      <c r="T6" s="125">
        <v>82.79</v>
      </c>
      <c r="U6" s="125">
        <v>126.99</v>
      </c>
      <c r="V6" s="125">
        <v>204.01</v>
      </c>
      <c r="W6" s="125">
        <v>132.1</v>
      </c>
      <c r="X6" s="125">
        <v>97.82</v>
      </c>
      <c r="Y6" s="125">
        <v>179.78</v>
      </c>
      <c r="Z6" s="125">
        <v>258.16000000000003</v>
      </c>
      <c r="AA6" s="125">
        <v>150.07</v>
      </c>
      <c r="AB6" s="125">
        <v>134.77000000000001</v>
      </c>
      <c r="AC6" s="125">
        <v>86.63</v>
      </c>
      <c r="AD6" s="125">
        <v>93.24</v>
      </c>
      <c r="AE6" s="125">
        <v>85.38</v>
      </c>
      <c r="AF6" s="125">
        <v>173.86</v>
      </c>
      <c r="AG6" s="125"/>
      <c r="AH6" s="108">
        <f t="shared" si="1"/>
        <v>4326.2599999999993</v>
      </c>
      <c r="AJ6" s="162" t="s">
        <v>79</v>
      </c>
      <c r="AK6" s="163" t="s">
        <v>210</v>
      </c>
    </row>
    <row r="7" spans="1:37" ht="15.75" x14ac:dyDescent="0.25">
      <c r="A7" s="122" t="s">
        <v>79</v>
      </c>
      <c r="B7" s="123" t="s">
        <v>81</v>
      </c>
      <c r="C7" s="125">
        <v>3.52</v>
      </c>
      <c r="D7" s="125"/>
      <c r="E7" s="125"/>
      <c r="F7" s="125"/>
      <c r="G7" s="125">
        <v>1.76</v>
      </c>
      <c r="H7" s="125"/>
      <c r="I7" s="125">
        <v>0.88</v>
      </c>
      <c r="J7" s="125"/>
      <c r="K7" s="125"/>
      <c r="L7" s="125">
        <v>3.08</v>
      </c>
      <c r="M7" s="125"/>
      <c r="N7" s="125"/>
      <c r="O7" s="125">
        <v>1.32</v>
      </c>
      <c r="P7" s="125"/>
      <c r="Q7" s="125"/>
      <c r="R7" s="125">
        <v>2.64</v>
      </c>
      <c r="S7" s="125"/>
      <c r="T7" s="125">
        <v>1.76</v>
      </c>
      <c r="U7" s="125">
        <v>0.88</v>
      </c>
      <c r="V7" s="125"/>
      <c r="W7" s="125">
        <v>0.88</v>
      </c>
      <c r="X7" s="125"/>
      <c r="Y7" s="125">
        <v>0.88</v>
      </c>
      <c r="Z7" s="125"/>
      <c r="AA7" s="125"/>
      <c r="AB7" s="125">
        <v>0.44</v>
      </c>
      <c r="AC7" s="125"/>
      <c r="AD7" s="125"/>
      <c r="AE7" s="125"/>
      <c r="AF7" s="125">
        <v>1.32</v>
      </c>
      <c r="AG7" s="125"/>
      <c r="AH7" s="108">
        <f t="shared" si="1"/>
        <v>19.360000000000003</v>
      </c>
      <c r="AJ7" s="162" t="s">
        <v>79</v>
      </c>
      <c r="AK7" s="163" t="s">
        <v>81</v>
      </c>
    </row>
    <row r="8" spans="1:37" ht="16.5" thickBot="1" x14ac:dyDescent="0.3">
      <c r="A8" s="434"/>
      <c r="B8" s="433" t="s">
        <v>195</v>
      </c>
      <c r="C8" s="432">
        <f t="shared" ref="C8:AG8" si="2">SUM(C3:C7)</f>
        <v>871.89</v>
      </c>
      <c r="D8" s="432">
        <f t="shared" si="2"/>
        <v>865.69</v>
      </c>
      <c r="E8" s="432">
        <f t="shared" si="2"/>
        <v>2721.52</v>
      </c>
      <c r="F8" s="432">
        <f t="shared" si="2"/>
        <v>2470.8500000000004</v>
      </c>
      <c r="G8" s="432">
        <f t="shared" si="2"/>
        <v>1839.5600000000002</v>
      </c>
      <c r="H8" s="432">
        <f t="shared" si="2"/>
        <v>990.96</v>
      </c>
      <c r="I8" s="432">
        <f t="shared" si="2"/>
        <v>943.75999999999988</v>
      </c>
      <c r="J8" s="432">
        <f t="shared" si="2"/>
        <v>817.84</v>
      </c>
      <c r="K8" s="432">
        <f t="shared" si="2"/>
        <v>770.92000000000007</v>
      </c>
      <c r="L8" s="432">
        <f t="shared" si="2"/>
        <v>1302.1399999999999</v>
      </c>
      <c r="M8" s="432">
        <f t="shared" si="2"/>
        <v>1320.63</v>
      </c>
      <c r="N8" s="432">
        <f t="shared" si="2"/>
        <v>618.58000000000004</v>
      </c>
      <c r="O8" s="432">
        <f t="shared" si="2"/>
        <v>1165.78</v>
      </c>
      <c r="P8" s="432">
        <f t="shared" si="2"/>
        <v>1181.21</v>
      </c>
      <c r="Q8" s="432">
        <f t="shared" si="2"/>
        <v>1200.8</v>
      </c>
      <c r="R8" s="432">
        <f t="shared" si="2"/>
        <v>1182.42</v>
      </c>
      <c r="S8" s="432">
        <f t="shared" si="2"/>
        <v>1292.53</v>
      </c>
      <c r="T8" s="432">
        <f t="shared" si="2"/>
        <v>1143.3799999999999</v>
      </c>
      <c r="U8" s="432">
        <f t="shared" si="2"/>
        <v>1201.8800000000001</v>
      </c>
      <c r="V8" s="432">
        <f t="shared" si="2"/>
        <v>1297.27</v>
      </c>
      <c r="W8" s="432">
        <f t="shared" si="2"/>
        <v>928.47</v>
      </c>
      <c r="X8" s="432">
        <f t="shared" si="2"/>
        <v>618.06999999999994</v>
      </c>
      <c r="Y8" s="432">
        <f t="shared" si="2"/>
        <v>1039.6400000000001</v>
      </c>
      <c r="Z8" s="432">
        <f t="shared" si="2"/>
        <v>1846.5500000000002</v>
      </c>
      <c r="AA8" s="432">
        <f t="shared" si="2"/>
        <v>1191.23</v>
      </c>
      <c r="AB8" s="432">
        <f t="shared" si="2"/>
        <v>1233.96</v>
      </c>
      <c r="AC8" s="432">
        <f t="shared" si="2"/>
        <v>1093.9899999999998</v>
      </c>
      <c r="AD8" s="432">
        <f t="shared" si="2"/>
        <v>1037.05</v>
      </c>
      <c r="AE8" s="432">
        <f t="shared" si="2"/>
        <v>1129.4299999999998</v>
      </c>
      <c r="AF8" s="432">
        <f t="shared" si="2"/>
        <v>1285.6699999999998</v>
      </c>
      <c r="AG8" s="432">
        <f t="shared" si="2"/>
        <v>0</v>
      </c>
      <c r="AH8" s="431">
        <f t="shared" si="1"/>
        <v>36603.670000000006</v>
      </c>
      <c r="AJ8" s="162"/>
      <c r="AK8" s="163"/>
    </row>
    <row r="9" spans="1:37" ht="15.75" x14ac:dyDescent="0.25">
      <c r="A9" s="430" t="s">
        <v>61</v>
      </c>
      <c r="B9" s="429" t="s">
        <v>83</v>
      </c>
      <c r="C9" s="428">
        <v>12.96</v>
      </c>
      <c r="D9" s="107">
        <v>8.09</v>
      </c>
      <c r="E9" s="427">
        <v>7.84</v>
      </c>
      <c r="F9" s="427">
        <v>15.25</v>
      </c>
      <c r="G9" s="427">
        <v>6.62</v>
      </c>
      <c r="H9" s="427">
        <v>5.52</v>
      </c>
      <c r="I9" s="427">
        <v>12.01</v>
      </c>
      <c r="J9" s="427">
        <v>10.37</v>
      </c>
      <c r="K9" s="427">
        <v>2.63</v>
      </c>
      <c r="L9" s="427">
        <v>7.92</v>
      </c>
      <c r="M9" s="427">
        <v>7.53</v>
      </c>
      <c r="N9" s="427">
        <v>11.86</v>
      </c>
      <c r="O9" s="427">
        <v>9.35</v>
      </c>
      <c r="P9" s="427">
        <v>7.78</v>
      </c>
      <c r="Q9" s="427">
        <v>10.24</v>
      </c>
      <c r="R9" s="427">
        <v>10.7</v>
      </c>
      <c r="S9" s="427">
        <v>16.739999999999998</v>
      </c>
      <c r="T9" s="427">
        <v>15.09</v>
      </c>
      <c r="U9" s="427">
        <v>4.28</v>
      </c>
      <c r="V9" s="427">
        <v>8.15</v>
      </c>
      <c r="W9" s="427">
        <v>6.91</v>
      </c>
      <c r="X9" s="427">
        <v>14.61</v>
      </c>
      <c r="Y9" s="427">
        <v>8.65</v>
      </c>
      <c r="Z9" s="427">
        <v>26.13</v>
      </c>
      <c r="AA9" s="427">
        <v>7.01</v>
      </c>
      <c r="AB9" s="427">
        <v>30.42</v>
      </c>
      <c r="AC9" s="427">
        <v>8.64</v>
      </c>
      <c r="AD9" s="427">
        <v>10.53</v>
      </c>
      <c r="AE9" s="427">
        <v>4.8099999999999996</v>
      </c>
      <c r="AF9" s="427">
        <v>9.92</v>
      </c>
      <c r="AG9" s="427"/>
      <c r="AH9" s="426">
        <f t="shared" si="1"/>
        <v>318.55999999999995</v>
      </c>
      <c r="AJ9" s="424"/>
      <c r="AK9" s="423"/>
    </row>
    <row r="10" spans="1:37" ht="15.75" x14ac:dyDescent="0.25">
      <c r="A10" s="122" t="s">
        <v>69</v>
      </c>
      <c r="B10" s="123" t="s">
        <v>70</v>
      </c>
      <c r="C10" s="425">
        <v>525</v>
      </c>
      <c r="D10" s="125">
        <v>677</v>
      </c>
      <c r="E10" s="153">
        <v>1848</v>
      </c>
      <c r="F10" s="153">
        <v>1973</v>
      </c>
      <c r="G10" s="153">
        <v>929</v>
      </c>
      <c r="H10" s="153">
        <v>623</v>
      </c>
      <c r="I10" s="153">
        <v>648</v>
      </c>
      <c r="J10" s="153">
        <v>636</v>
      </c>
      <c r="K10" s="153">
        <v>670</v>
      </c>
      <c r="L10" s="153">
        <v>1002</v>
      </c>
      <c r="M10" s="153">
        <v>787</v>
      </c>
      <c r="N10" s="153">
        <v>980</v>
      </c>
      <c r="O10" s="153">
        <v>575</v>
      </c>
      <c r="P10" s="153">
        <v>898</v>
      </c>
      <c r="Q10" s="153">
        <v>853</v>
      </c>
      <c r="R10" s="153">
        <v>828</v>
      </c>
      <c r="S10" s="153">
        <v>1301</v>
      </c>
      <c r="T10" s="153">
        <v>959</v>
      </c>
      <c r="U10" s="153">
        <v>637</v>
      </c>
      <c r="V10" s="153">
        <v>546</v>
      </c>
      <c r="W10" s="153">
        <v>364</v>
      </c>
      <c r="X10" s="153">
        <v>677</v>
      </c>
      <c r="Y10" s="153">
        <v>714</v>
      </c>
      <c r="Z10" s="153">
        <v>942</v>
      </c>
      <c r="AA10" s="153">
        <v>841</v>
      </c>
      <c r="AB10" s="153">
        <v>726</v>
      </c>
      <c r="AC10" s="153">
        <v>777</v>
      </c>
      <c r="AD10" s="153">
        <v>655</v>
      </c>
      <c r="AE10" s="153">
        <v>629</v>
      </c>
      <c r="AF10" s="153">
        <v>580</v>
      </c>
      <c r="AG10" s="153"/>
      <c r="AH10" s="420">
        <f t="shared" si="1"/>
        <v>24800</v>
      </c>
      <c r="AJ10" s="424"/>
      <c r="AK10" s="423"/>
    </row>
    <row r="11" spans="1:37" ht="15.75" x14ac:dyDescent="0.25">
      <c r="A11" s="122" t="s">
        <v>80</v>
      </c>
      <c r="B11" s="123" t="s">
        <v>82</v>
      </c>
      <c r="C11" s="425"/>
      <c r="D11" s="125"/>
      <c r="E11" s="153"/>
      <c r="F11" s="153"/>
      <c r="G11" s="153"/>
      <c r="H11" s="153"/>
      <c r="I11" s="153"/>
      <c r="J11" s="153"/>
      <c r="K11" s="153"/>
      <c r="L11" s="153"/>
      <c r="M11" s="153"/>
      <c r="N11" s="153"/>
      <c r="O11" s="153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A11" s="153"/>
      <c r="AB11" s="153"/>
      <c r="AC11" s="153"/>
      <c r="AD11" s="153"/>
      <c r="AE11" s="153"/>
      <c r="AF11" s="153"/>
      <c r="AG11" s="153"/>
      <c r="AH11" s="420">
        <f t="shared" si="1"/>
        <v>0</v>
      </c>
      <c r="AJ11" s="424"/>
      <c r="AK11" s="423"/>
    </row>
    <row r="12" spans="1:37" ht="15.75" x14ac:dyDescent="0.25">
      <c r="A12" s="122" t="s">
        <v>79</v>
      </c>
      <c r="B12" s="123" t="s">
        <v>210</v>
      </c>
      <c r="C12" s="425">
        <v>135.87</v>
      </c>
      <c r="D12" s="125">
        <v>85.3</v>
      </c>
      <c r="E12" s="153">
        <v>82.09</v>
      </c>
      <c r="F12" s="153">
        <v>161.47999999999999</v>
      </c>
      <c r="G12" s="153">
        <v>70.13</v>
      </c>
      <c r="H12" s="153">
        <v>58.1</v>
      </c>
      <c r="I12" s="153">
        <v>127.15</v>
      </c>
      <c r="J12" s="153">
        <v>109.46</v>
      </c>
      <c r="K12" s="153">
        <v>27.91</v>
      </c>
      <c r="L12" s="153">
        <v>81.93</v>
      </c>
      <c r="M12" s="153">
        <v>79.64</v>
      </c>
      <c r="N12" s="153">
        <v>125.34</v>
      </c>
      <c r="O12" s="153">
        <v>98.69</v>
      </c>
      <c r="P12" s="153">
        <v>82.41</v>
      </c>
      <c r="Q12" s="153">
        <v>108.16</v>
      </c>
      <c r="R12" s="153">
        <v>113.35</v>
      </c>
      <c r="S12" s="153">
        <v>175.71</v>
      </c>
      <c r="T12" s="153">
        <v>159.71</v>
      </c>
      <c r="U12" s="153">
        <v>45.25</v>
      </c>
      <c r="V12" s="153">
        <v>86.44</v>
      </c>
      <c r="W12" s="153">
        <v>73.37</v>
      </c>
      <c r="X12" s="153">
        <v>154.49</v>
      </c>
      <c r="Y12" s="153">
        <v>91.05</v>
      </c>
      <c r="Z12" s="153">
        <v>276.33999999999997</v>
      </c>
      <c r="AA12" s="153">
        <v>74.180000000000007</v>
      </c>
      <c r="AB12" s="153">
        <v>322</v>
      </c>
      <c r="AC12" s="153">
        <v>91.33</v>
      </c>
      <c r="AD12" s="153">
        <v>111.28</v>
      </c>
      <c r="AE12" s="153">
        <v>48.59</v>
      </c>
      <c r="AF12" s="153">
        <v>100</v>
      </c>
      <c r="AG12" s="153"/>
      <c r="AH12" s="420">
        <f t="shared" si="1"/>
        <v>3356.7500000000009</v>
      </c>
      <c r="AJ12" s="424"/>
      <c r="AK12" s="423"/>
    </row>
    <row r="13" spans="1:37" ht="15.75" x14ac:dyDescent="0.25">
      <c r="A13" s="122" t="s">
        <v>79</v>
      </c>
      <c r="B13" s="123" t="s">
        <v>81</v>
      </c>
      <c r="C13" s="425"/>
      <c r="D13" s="125"/>
      <c r="E13" s="153"/>
      <c r="F13" s="153">
        <v>1.32</v>
      </c>
      <c r="G13" s="153"/>
      <c r="H13" s="153">
        <v>7.92</v>
      </c>
      <c r="I13" s="153"/>
      <c r="J13" s="153">
        <v>2.2000000000000002</v>
      </c>
      <c r="K13" s="153"/>
      <c r="L13" s="153"/>
      <c r="M13" s="153"/>
      <c r="N13" s="153"/>
      <c r="O13" s="153"/>
      <c r="P13" s="153"/>
      <c r="Q13" s="153"/>
      <c r="R13" s="153"/>
      <c r="S13" s="153"/>
      <c r="T13" s="153">
        <v>2.2000000000000002</v>
      </c>
      <c r="U13" s="153"/>
      <c r="V13" s="153"/>
      <c r="W13" s="153"/>
      <c r="X13" s="153"/>
      <c r="Y13" s="153">
        <v>1.76</v>
      </c>
      <c r="Z13" s="153"/>
      <c r="AA13" s="153">
        <v>0.44</v>
      </c>
      <c r="AB13" s="153"/>
      <c r="AC13" s="153"/>
      <c r="AD13" s="153">
        <v>3.08</v>
      </c>
      <c r="AE13" s="153"/>
      <c r="AF13" s="153"/>
      <c r="AG13" s="153"/>
      <c r="AH13" s="420">
        <f t="shared" si="1"/>
        <v>18.920000000000002</v>
      </c>
      <c r="AJ13" s="424"/>
      <c r="AK13" s="423"/>
    </row>
    <row r="14" spans="1:37" ht="16.5" thickBot="1" x14ac:dyDescent="0.3">
      <c r="A14" s="132"/>
      <c r="B14" s="422" t="s">
        <v>194</v>
      </c>
      <c r="C14" s="421">
        <f t="shared" ref="C14:AG14" si="3">SUM(C9:C13)</f>
        <v>673.83</v>
      </c>
      <c r="D14" s="421">
        <f t="shared" si="3"/>
        <v>770.39</v>
      </c>
      <c r="E14" s="421">
        <f t="shared" si="3"/>
        <v>1937.9299999999998</v>
      </c>
      <c r="F14" s="421">
        <f t="shared" si="3"/>
        <v>2151.0500000000002</v>
      </c>
      <c r="G14" s="421">
        <f t="shared" si="3"/>
        <v>1005.75</v>
      </c>
      <c r="H14" s="421">
        <f t="shared" si="3"/>
        <v>694.54</v>
      </c>
      <c r="I14" s="421">
        <f t="shared" si="3"/>
        <v>787.16</v>
      </c>
      <c r="J14" s="421">
        <f t="shared" si="3"/>
        <v>758.03000000000009</v>
      </c>
      <c r="K14" s="421">
        <f t="shared" si="3"/>
        <v>700.54</v>
      </c>
      <c r="L14" s="421">
        <f t="shared" si="3"/>
        <v>1091.8499999999999</v>
      </c>
      <c r="M14" s="421">
        <f t="shared" si="3"/>
        <v>874.17</v>
      </c>
      <c r="N14" s="421">
        <f t="shared" si="3"/>
        <v>1117.2</v>
      </c>
      <c r="O14" s="421">
        <f t="shared" si="3"/>
        <v>683.04</v>
      </c>
      <c r="P14" s="421">
        <f t="shared" si="3"/>
        <v>988.18999999999994</v>
      </c>
      <c r="Q14" s="421">
        <f t="shared" si="3"/>
        <v>971.4</v>
      </c>
      <c r="R14" s="421">
        <f t="shared" si="3"/>
        <v>952.05000000000007</v>
      </c>
      <c r="S14" s="421">
        <f t="shared" si="3"/>
        <v>1493.45</v>
      </c>
      <c r="T14" s="421">
        <f t="shared" si="3"/>
        <v>1136</v>
      </c>
      <c r="U14" s="421">
        <f t="shared" si="3"/>
        <v>686.53</v>
      </c>
      <c r="V14" s="421">
        <f t="shared" si="3"/>
        <v>640.58999999999992</v>
      </c>
      <c r="W14" s="421">
        <f t="shared" si="3"/>
        <v>444.28000000000003</v>
      </c>
      <c r="X14" s="421">
        <f t="shared" si="3"/>
        <v>846.1</v>
      </c>
      <c r="Y14" s="421">
        <f t="shared" si="3"/>
        <v>815.45999999999992</v>
      </c>
      <c r="Z14" s="421">
        <f t="shared" si="3"/>
        <v>1244.47</v>
      </c>
      <c r="AA14" s="421">
        <f t="shared" si="3"/>
        <v>922.63000000000011</v>
      </c>
      <c r="AB14" s="421">
        <f t="shared" si="3"/>
        <v>1078.42</v>
      </c>
      <c r="AC14" s="421">
        <f t="shared" si="3"/>
        <v>876.97</v>
      </c>
      <c r="AD14" s="421">
        <f t="shared" si="3"/>
        <v>779.89</v>
      </c>
      <c r="AE14" s="421">
        <f t="shared" si="3"/>
        <v>682.4</v>
      </c>
      <c r="AF14" s="421">
        <f t="shared" si="3"/>
        <v>689.92</v>
      </c>
      <c r="AG14" s="421">
        <f t="shared" si="3"/>
        <v>0</v>
      </c>
      <c r="AH14" s="420">
        <f t="shared" si="1"/>
        <v>28494.230000000003</v>
      </c>
      <c r="AJ14" s="77"/>
      <c r="AK14" s="78"/>
    </row>
    <row r="15" spans="1:37" x14ac:dyDescent="0.25">
      <c r="A15" s="134"/>
      <c r="B15" s="414" t="s">
        <v>64</v>
      </c>
      <c r="C15" s="413">
        <f t="shared" ref="C15:AG15" si="4">SUM(C3:C7,C9:C13)</f>
        <v>1545.7199999999998</v>
      </c>
      <c r="D15" s="413">
        <f t="shared" si="4"/>
        <v>1636.0800000000002</v>
      </c>
      <c r="E15" s="413">
        <f t="shared" si="4"/>
        <v>4659.4500000000007</v>
      </c>
      <c r="F15" s="413">
        <f t="shared" si="4"/>
        <v>4621.8999999999996</v>
      </c>
      <c r="G15" s="413">
        <f t="shared" si="4"/>
        <v>2845.3100000000004</v>
      </c>
      <c r="H15" s="413">
        <f t="shared" si="4"/>
        <v>1685.5</v>
      </c>
      <c r="I15" s="413">
        <f t="shared" si="4"/>
        <v>1730.92</v>
      </c>
      <c r="J15" s="413">
        <f t="shared" si="4"/>
        <v>1575.8700000000001</v>
      </c>
      <c r="K15" s="413">
        <f t="shared" si="4"/>
        <v>1471.4600000000003</v>
      </c>
      <c r="L15" s="413">
        <f t="shared" si="4"/>
        <v>2393.9899999999998</v>
      </c>
      <c r="M15" s="413">
        <f t="shared" si="4"/>
        <v>2194.7999999999997</v>
      </c>
      <c r="N15" s="413">
        <f t="shared" si="4"/>
        <v>1735.78</v>
      </c>
      <c r="O15" s="413">
        <f t="shared" si="4"/>
        <v>1848.82</v>
      </c>
      <c r="P15" s="413">
        <f t="shared" si="4"/>
        <v>2169.3999999999996</v>
      </c>
      <c r="Q15" s="413">
        <f t="shared" si="4"/>
        <v>2172.1999999999998</v>
      </c>
      <c r="R15" s="413">
        <f t="shared" si="4"/>
        <v>2134.4700000000003</v>
      </c>
      <c r="S15" s="413">
        <f t="shared" si="4"/>
        <v>2785.98</v>
      </c>
      <c r="T15" s="413">
        <f t="shared" si="4"/>
        <v>2279.3799999999997</v>
      </c>
      <c r="U15" s="413">
        <f t="shared" si="4"/>
        <v>1888.41</v>
      </c>
      <c r="V15" s="413">
        <f t="shared" si="4"/>
        <v>1937.8600000000001</v>
      </c>
      <c r="W15" s="413">
        <f t="shared" si="4"/>
        <v>1372.75</v>
      </c>
      <c r="X15" s="413">
        <f t="shared" si="4"/>
        <v>1464.1699999999998</v>
      </c>
      <c r="Y15" s="413">
        <f t="shared" si="4"/>
        <v>1855.1000000000001</v>
      </c>
      <c r="Z15" s="413">
        <f t="shared" si="4"/>
        <v>3091.0200000000004</v>
      </c>
      <c r="AA15" s="413">
        <f t="shared" si="4"/>
        <v>2113.86</v>
      </c>
      <c r="AB15" s="413">
        <f t="shared" si="4"/>
        <v>2312.38</v>
      </c>
      <c r="AC15" s="413">
        <f t="shared" si="4"/>
        <v>1970.9599999999998</v>
      </c>
      <c r="AD15" s="413">
        <f t="shared" si="4"/>
        <v>1816.9399999999998</v>
      </c>
      <c r="AE15" s="413">
        <f t="shared" si="4"/>
        <v>1811.8299999999997</v>
      </c>
      <c r="AF15" s="413">
        <f t="shared" si="4"/>
        <v>1975.59</v>
      </c>
      <c r="AG15" s="413">
        <f t="shared" si="4"/>
        <v>0</v>
      </c>
      <c r="AH15" s="109">
        <f t="shared" si="1"/>
        <v>65097.899999999994</v>
      </c>
      <c r="AJ15" s="83"/>
      <c r="AK15" s="84" t="s">
        <v>64</v>
      </c>
    </row>
    <row r="16" spans="1:37" ht="15.75" thickBot="1" x14ac:dyDescent="0.3">
      <c r="A16" s="286"/>
      <c r="B16" s="287"/>
      <c r="C16" s="288"/>
      <c r="D16" s="288"/>
      <c r="E16" s="288"/>
      <c r="F16" s="288"/>
      <c r="G16" s="288"/>
      <c r="H16" s="288"/>
      <c r="I16" s="288"/>
      <c r="J16" s="288"/>
      <c r="K16" s="288"/>
      <c r="L16" s="288"/>
      <c r="M16" s="288"/>
      <c r="N16" s="288"/>
      <c r="O16" s="288"/>
      <c r="P16" s="288"/>
      <c r="Q16" s="288"/>
      <c r="R16" s="288"/>
      <c r="S16" s="288"/>
      <c r="T16" s="288"/>
      <c r="U16" s="288"/>
      <c r="V16" s="288"/>
      <c r="W16" s="288"/>
      <c r="X16" s="288"/>
      <c r="Y16" s="288"/>
      <c r="Z16" s="288"/>
      <c r="AA16" s="288"/>
      <c r="AB16" s="288"/>
      <c r="AC16" s="288"/>
      <c r="AD16" s="288"/>
      <c r="AE16" s="288"/>
      <c r="AF16" s="288"/>
      <c r="AG16" s="288"/>
      <c r="AH16" s="289"/>
      <c r="AJ16" s="190"/>
      <c r="AK16" s="190"/>
    </row>
    <row r="17" spans="1:40" ht="16.5" thickBot="1" x14ac:dyDescent="0.3">
      <c r="A17" s="86"/>
      <c r="B17" s="87"/>
      <c r="C17" s="88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419"/>
      <c r="AJ17" s="508" t="s">
        <v>130</v>
      </c>
      <c r="AK17" s="509"/>
      <c r="AL17" s="509"/>
      <c r="AM17" s="510"/>
    </row>
    <row r="18" spans="1:40" ht="16.5" thickBot="1" x14ac:dyDescent="0.3">
      <c r="A18" s="367" t="str">
        <f>'[1]TEMP Summary'!A12</f>
        <v>01-00-1000</v>
      </c>
      <c r="B18" s="453" t="s">
        <v>193</v>
      </c>
      <c r="C18" s="435">
        <v>513.09</v>
      </c>
      <c r="D18" s="436">
        <v>472.29</v>
      </c>
      <c r="E18" s="436">
        <v>1204.76</v>
      </c>
      <c r="F18" s="436">
        <v>663.07</v>
      </c>
      <c r="G18" s="436">
        <v>724.58</v>
      </c>
      <c r="H18" s="436">
        <v>436.65</v>
      </c>
      <c r="I18" s="436">
        <v>531.82000000000005</v>
      </c>
      <c r="J18" s="436">
        <v>491.88</v>
      </c>
      <c r="K18" s="436">
        <v>425.38</v>
      </c>
      <c r="L18" s="436">
        <v>780.71</v>
      </c>
      <c r="M18" s="436">
        <v>596.19000000000005</v>
      </c>
      <c r="N18" s="436">
        <f>270.31+70</f>
        <v>340.31</v>
      </c>
      <c r="O18" s="436">
        <v>609.69000000000005</v>
      </c>
      <c r="P18" s="436">
        <v>747.69</v>
      </c>
      <c r="Q18" s="436">
        <v>687.64</v>
      </c>
      <c r="R18" s="436">
        <v>532.32000000000005</v>
      </c>
      <c r="S18" s="436">
        <v>735.26</v>
      </c>
      <c r="T18" s="107">
        <v>600.82000000000005</v>
      </c>
      <c r="U18" s="107">
        <v>559.99</v>
      </c>
      <c r="V18" s="107">
        <v>723.81</v>
      </c>
      <c r="W18" s="107">
        <v>582.33000000000004</v>
      </c>
      <c r="X18" s="107">
        <v>313.82</v>
      </c>
      <c r="Y18" s="107">
        <v>524.84</v>
      </c>
      <c r="Z18" s="107">
        <v>739.46</v>
      </c>
      <c r="AA18" s="107">
        <v>442.69</v>
      </c>
      <c r="AB18" s="107">
        <v>711.43</v>
      </c>
      <c r="AC18" s="107">
        <f>453.78+231.18</f>
        <v>684.96</v>
      </c>
      <c r="AD18" s="107">
        <v>598.69000000000005</v>
      </c>
      <c r="AE18" s="107">
        <v>639.75</v>
      </c>
      <c r="AF18" s="490">
        <v>734.78</v>
      </c>
      <c r="AG18" s="458"/>
      <c r="AH18" s="418">
        <f t="shared" ref="AH18:AH24" si="5">SUM(C18:AG18)</f>
        <v>18350.699999999997</v>
      </c>
      <c r="AJ18" s="282" t="s">
        <v>66</v>
      </c>
      <c r="AK18" s="283" t="s">
        <v>131</v>
      </c>
      <c r="AL18" s="283" t="s">
        <v>123</v>
      </c>
      <c r="AM18" s="284" t="s">
        <v>124</v>
      </c>
    </row>
    <row r="19" spans="1:40" ht="16.5" thickBot="1" x14ac:dyDescent="0.3">
      <c r="A19" s="368" t="str">
        <f>'[1]TEMP Summary'!A13</f>
        <v>01-00-1000</v>
      </c>
      <c r="B19" s="454" t="s">
        <v>192</v>
      </c>
      <c r="C19" s="437">
        <v>257.37</v>
      </c>
      <c r="D19" s="438">
        <v>308.99</v>
      </c>
      <c r="E19" s="438">
        <v>984.34</v>
      </c>
      <c r="F19" s="438">
        <v>823.47</v>
      </c>
      <c r="G19" s="438">
        <v>471.73</v>
      </c>
      <c r="H19" s="438">
        <v>345.63</v>
      </c>
      <c r="I19" s="438">
        <v>394.69</v>
      </c>
      <c r="J19" s="438">
        <v>478.96</v>
      </c>
      <c r="K19" s="438">
        <v>312.45999999999998</v>
      </c>
      <c r="L19" s="438">
        <v>576.61</v>
      </c>
      <c r="M19" s="438">
        <v>442.45</v>
      </c>
      <c r="N19" s="438">
        <v>642.13</v>
      </c>
      <c r="O19" s="438">
        <v>424.6</v>
      </c>
      <c r="P19" s="438">
        <v>418.07</v>
      </c>
      <c r="Q19" s="438">
        <v>604.38</v>
      </c>
      <c r="R19" s="438">
        <v>488.12</v>
      </c>
      <c r="S19" s="438">
        <v>788.79</v>
      </c>
      <c r="T19" s="125">
        <v>491.81</v>
      </c>
      <c r="U19" s="125">
        <v>304.33</v>
      </c>
      <c r="V19" s="125">
        <v>379.29</v>
      </c>
      <c r="W19" s="125">
        <v>319.45</v>
      </c>
      <c r="X19" s="125">
        <v>443.8</v>
      </c>
      <c r="Y19" s="125">
        <v>378.35</v>
      </c>
      <c r="Z19" s="125">
        <v>543.87</v>
      </c>
      <c r="AA19" s="125">
        <v>587.25</v>
      </c>
      <c r="AB19" s="125">
        <v>433.07</v>
      </c>
      <c r="AC19" s="125">
        <v>434.79</v>
      </c>
      <c r="AD19" s="125">
        <v>485.77</v>
      </c>
      <c r="AE19" s="125">
        <v>316.32</v>
      </c>
      <c r="AF19" s="484">
        <v>317.62</v>
      </c>
      <c r="AG19" s="459"/>
      <c r="AH19" s="417">
        <f t="shared" si="5"/>
        <v>14198.510000000004</v>
      </c>
      <c r="AJ19" s="358"/>
      <c r="AK19" s="359"/>
      <c r="AL19" s="359"/>
      <c r="AM19" s="360"/>
    </row>
    <row r="20" spans="1:40" ht="15.75" x14ac:dyDescent="0.25">
      <c r="A20" s="368" t="str">
        <f>'[1]TEMP Summary'!A14</f>
        <v>01-00-1000</v>
      </c>
      <c r="B20" s="454" t="s">
        <v>191</v>
      </c>
      <c r="C20" s="478">
        <v>358.8</v>
      </c>
      <c r="D20" s="480">
        <v>368.4</v>
      </c>
      <c r="E20" s="480">
        <v>1516.76</v>
      </c>
      <c r="F20" s="480">
        <v>1707.78</v>
      </c>
      <c r="G20" s="480">
        <v>1114.98</v>
      </c>
      <c r="H20" s="480">
        <v>554.32000000000005</v>
      </c>
      <c r="I20" s="480">
        <v>411.94</v>
      </c>
      <c r="J20" s="480">
        <v>325.95999999999998</v>
      </c>
      <c r="K20" s="480">
        <v>345.54</v>
      </c>
      <c r="L20" s="480">
        <v>521.42999999999995</v>
      </c>
      <c r="M20" s="480">
        <v>724.44</v>
      </c>
      <c r="N20" s="480">
        <v>278.27</v>
      </c>
      <c r="O20" s="480">
        <v>556.09</v>
      </c>
      <c r="P20" s="480">
        <v>433.52</v>
      </c>
      <c r="Q20" s="480">
        <v>513.16</v>
      </c>
      <c r="R20" s="480">
        <v>650.1</v>
      </c>
      <c r="S20" s="480">
        <v>557.27</v>
      </c>
      <c r="T20" s="480">
        <v>542.55999999999995</v>
      </c>
      <c r="U20" s="480">
        <v>641.89</v>
      </c>
      <c r="V20" s="480">
        <v>573.46</v>
      </c>
      <c r="W20" s="480">
        <v>346.14</v>
      </c>
      <c r="X20" s="480">
        <v>304.25</v>
      </c>
      <c r="Y20" s="480">
        <v>494.8</v>
      </c>
      <c r="Z20" s="480">
        <v>1107.0899999999999</v>
      </c>
      <c r="AA20" s="480">
        <v>748.54</v>
      </c>
      <c r="AB20" s="486">
        <v>522.53</v>
      </c>
      <c r="AC20" s="486">
        <v>409.03</v>
      </c>
      <c r="AD20" s="486">
        <v>438.36</v>
      </c>
      <c r="AE20" s="486">
        <v>489.68</v>
      </c>
      <c r="AF20" s="484">
        <v>550.89</v>
      </c>
      <c r="AG20" s="459"/>
      <c r="AH20" s="417">
        <f t="shared" si="5"/>
        <v>18107.98</v>
      </c>
      <c r="AJ20" s="126" t="s">
        <v>60</v>
      </c>
      <c r="AK20" s="127" t="s">
        <v>54</v>
      </c>
      <c r="AL20" s="451">
        <f>SUM(C18:AE19)</f>
        <v>31496.81</v>
      </c>
      <c r="AM20" s="452">
        <f>SUM(AF18:AG19)</f>
        <v>1052.4000000000001</v>
      </c>
    </row>
    <row r="21" spans="1:40" ht="15.75" x14ac:dyDescent="0.25">
      <c r="A21" s="368" t="str">
        <f>'[1]TEMP Summary'!A15</f>
        <v>01-00-1000</v>
      </c>
      <c r="B21" s="454" t="s">
        <v>190</v>
      </c>
      <c r="C21" s="478">
        <v>416.46</v>
      </c>
      <c r="D21" s="480">
        <v>461.4</v>
      </c>
      <c r="E21" s="480">
        <v>953.59</v>
      </c>
      <c r="F21" s="480">
        <v>1327.58</v>
      </c>
      <c r="G21" s="480">
        <v>534.02</v>
      </c>
      <c r="H21" s="480">
        <v>348.91</v>
      </c>
      <c r="I21" s="480">
        <v>392.47</v>
      </c>
      <c r="J21" s="480">
        <v>279.07</v>
      </c>
      <c r="K21" s="480">
        <v>388.08</v>
      </c>
      <c r="L21" s="480">
        <v>515.24</v>
      </c>
      <c r="M21" s="480">
        <v>431.72</v>
      </c>
      <c r="N21" s="480">
        <v>475.07</v>
      </c>
      <c r="O21" s="480">
        <v>258.44</v>
      </c>
      <c r="P21" s="480">
        <v>570.12</v>
      </c>
      <c r="Q21" s="480">
        <v>367.02</v>
      </c>
      <c r="R21" s="480">
        <v>463.93</v>
      </c>
      <c r="S21" s="480">
        <v>704.66</v>
      </c>
      <c r="T21" s="480">
        <v>644.19000000000005</v>
      </c>
      <c r="U21" s="480">
        <v>382.2</v>
      </c>
      <c r="V21" s="480">
        <v>261.3</v>
      </c>
      <c r="W21" s="480">
        <v>124.83</v>
      </c>
      <c r="X21" s="480">
        <v>402.3</v>
      </c>
      <c r="Y21" s="480">
        <v>427.11</v>
      </c>
      <c r="Z21" s="480">
        <v>700.6</v>
      </c>
      <c r="AA21" s="480">
        <v>335.38</v>
      </c>
      <c r="AB21" s="486">
        <v>645.35</v>
      </c>
      <c r="AC21" s="486">
        <v>442.18</v>
      </c>
      <c r="AD21" s="486">
        <v>294.12</v>
      </c>
      <c r="AE21" s="486">
        <v>366.08</v>
      </c>
      <c r="AF21" s="484">
        <v>297.74</v>
      </c>
      <c r="AG21" s="459"/>
      <c r="AH21" s="417">
        <f t="shared" si="5"/>
        <v>14211.16</v>
      </c>
      <c r="AJ21" s="129" t="s">
        <v>60</v>
      </c>
      <c r="AK21" s="130" t="s">
        <v>211</v>
      </c>
      <c r="AL21" s="290">
        <f>SUM(C20:AA21)-AL29</f>
        <v>27027.45</v>
      </c>
      <c r="AM21" s="291">
        <f>SUM(AB20:AG21)-AM29</f>
        <v>4322.32</v>
      </c>
    </row>
    <row r="22" spans="1:40" ht="15.75" x14ac:dyDescent="0.25">
      <c r="A22" s="368" t="s">
        <v>60</v>
      </c>
      <c r="B22" s="463" t="s">
        <v>215</v>
      </c>
      <c r="C22" s="464"/>
      <c r="D22" s="465">
        <v>9</v>
      </c>
      <c r="E22" s="465"/>
      <c r="F22" s="465"/>
      <c r="G22" s="465"/>
      <c r="H22" s="465"/>
      <c r="I22" s="465"/>
      <c r="J22" s="465"/>
      <c r="K22" s="465"/>
      <c r="L22" s="465"/>
      <c r="M22" s="465"/>
      <c r="N22" s="465"/>
      <c r="O22" s="465"/>
      <c r="P22" s="465"/>
      <c r="Q22" s="465"/>
      <c r="R22" s="465"/>
      <c r="S22" s="465"/>
      <c r="T22" s="153"/>
      <c r="U22" s="153"/>
      <c r="V22" s="153"/>
      <c r="W22" s="153"/>
      <c r="X22" s="153"/>
      <c r="Y22" s="153"/>
      <c r="Z22" s="153"/>
      <c r="AA22" s="153"/>
      <c r="AB22" s="153"/>
      <c r="AC22" s="153"/>
      <c r="AD22" s="153"/>
      <c r="AE22" s="153"/>
      <c r="AF22" s="153"/>
      <c r="AG22" s="466"/>
      <c r="AH22" s="417">
        <f t="shared" si="5"/>
        <v>9</v>
      </c>
      <c r="AJ22" s="361" t="s">
        <v>60</v>
      </c>
      <c r="AK22" s="362" t="s">
        <v>217</v>
      </c>
      <c r="AL22" s="363">
        <f>SUM(C22:AE23)</f>
        <v>9</v>
      </c>
      <c r="AM22" s="364">
        <f>SUM(AF22:AG23)</f>
        <v>0</v>
      </c>
    </row>
    <row r="23" spans="1:40" ht="16.5" thickBot="1" x14ac:dyDescent="0.3">
      <c r="A23" s="369" t="s">
        <v>60</v>
      </c>
      <c r="B23" s="455" t="s">
        <v>216</v>
      </c>
      <c r="C23" s="365"/>
      <c r="D23" s="366"/>
      <c r="E23" s="366"/>
      <c r="F23" s="366"/>
      <c r="G23" s="366"/>
      <c r="H23" s="366"/>
      <c r="I23" s="366"/>
      <c r="J23" s="366"/>
      <c r="K23" s="366"/>
      <c r="L23" s="366"/>
      <c r="M23" s="366"/>
      <c r="N23" s="366"/>
      <c r="O23" s="366"/>
      <c r="P23" s="366"/>
      <c r="Q23" s="366"/>
      <c r="R23" s="366"/>
      <c r="S23" s="366"/>
      <c r="T23" s="366"/>
      <c r="U23" s="366"/>
      <c r="V23" s="366"/>
      <c r="W23" s="366"/>
      <c r="X23" s="366"/>
      <c r="Y23" s="366"/>
      <c r="Z23" s="366"/>
      <c r="AA23" s="366"/>
      <c r="AB23" s="366"/>
      <c r="AC23" s="366"/>
      <c r="AD23" s="366"/>
      <c r="AE23" s="366"/>
      <c r="AF23" s="366"/>
      <c r="AG23" s="460"/>
      <c r="AH23" s="416">
        <f t="shared" si="5"/>
        <v>0</v>
      </c>
      <c r="AJ23" s="361"/>
      <c r="AK23" s="362"/>
      <c r="AL23" s="363"/>
      <c r="AM23" s="364"/>
    </row>
    <row r="24" spans="1:40" ht="16.5" thickBot="1" x14ac:dyDescent="0.3">
      <c r="A24" s="456"/>
      <c r="B24" s="457" t="s">
        <v>65</v>
      </c>
      <c r="C24" s="475">
        <f>SUM(C18:C23)</f>
        <v>1545.72</v>
      </c>
      <c r="D24" s="476">
        <f t="shared" ref="D24:AF24" si="6">SUM(D18:D23)</f>
        <v>1620.08</v>
      </c>
      <c r="E24" s="476">
        <f t="shared" si="6"/>
        <v>4659.45</v>
      </c>
      <c r="F24" s="476">
        <f t="shared" si="6"/>
        <v>4521.8999999999996</v>
      </c>
      <c r="G24" s="476">
        <f t="shared" si="6"/>
        <v>2845.31</v>
      </c>
      <c r="H24" s="476">
        <f t="shared" si="6"/>
        <v>1685.51</v>
      </c>
      <c r="I24" s="476">
        <f t="shared" si="6"/>
        <v>1730.92</v>
      </c>
      <c r="J24" s="476">
        <f t="shared" si="6"/>
        <v>1575.87</v>
      </c>
      <c r="K24" s="476">
        <f t="shared" si="6"/>
        <v>1471.4599999999998</v>
      </c>
      <c r="L24" s="476">
        <f t="shared" si="6"/>
        <v>2393.9899999999998</v>
      </c>
      <c r="M24" s="476">
        <f t="shared" si="6"/>
        <v>2194.8000000000002</v>
      </c>
      <c r="N24" s="476">
        <f t="shared" si="6"/>
        <v>1735.78</v>
      </c>
      <c r="O24" s="476">
        <f t="shared" si="6"/>
        <v>1848.8200000000002</v>
      </c>
      <c r="P24" s="476">
        <f t="shared" si="6"/>
        <v>2169.4</v>
      </c>
      <c r="Q24" s="476">
        <f t="shared" si="6"/>
        <v>2172.1999999999998</v>
      </c>
      <c r="R24" s="476">
        <f t="shared" si="6"/>
        <v>2134.4699999999998</v>
      </c>
      <c r="S24" s="476">
        <f t="shared" si="6"/>
        <v>2785.9799999999996</v>
      </c>
      <c r="T24" s="476">
        <f t="shared" si="6"/>
        <v>2279.38</v>
      </c>
      <c r="U24" s="476">
        <f t="shared" si="6"/>
        <v>1888.41</v>
      </c>
      <c r="V24" s="476">
        <f t="shared" si="6"/>
        <v>1937.86</v>
      </c>
      <c r="W24" s="476">
        <f t="shared" si="6"/>
        <v>1372.75</v>
      </c>
      <c r="X24" s="476">
        <f t="shared" si="6"/>
        <v>1464.1699999999998</v>
      </c>
      <c r="Y24" s="476">
        <f t="shared" si="6"/>
        <v>1825.1</v>
      </c>
      <c r="Z24" s="476">
        <f t="shared" si="6"/>
        <v>3091.02</v>
      </c>
      <c r="AA24" s="476">
        <f t="shared" si="6"/>
        <v>2113.86</v>
      </c>
      <c r="AB24" s="476">
        <f t="shared" si="6"/>
        <v>2312.38</v>
      </c>
      <c r="AC24" s="476">
        <f t="shared" si="6"/>
        <v>1970.96</v>
      </c>
      <c r="AD24" s="476">
        <f t="shared" si="6"/>
        <v>1816.94</v>
      </c>
      <c r="AE24" s="476">
        <f t="shared" si="6"/>
        <v>1811.83</v>
      </c>
      <c r="AF24" s="477">
        <f t="shared" si="6"/>
        <v>1901.03</v>
      </c>
      <c r="AG24" s="461">
        <f t="shared" ref="AG24" si="7">SUM(AG18:AG21)</f>
        <v>0</v>
      </c>
      <c r="AH24" s="462">
        <f t="shared" si="5"/>
        <v>64877.35</v>
      </c>
      <c r="AJ24" s="135" t="s">
        <v>84</v>
      </c>
      <c r="AK24" s="136" t="s">
        <v>33</v>
      </c>
      <c r="AL24" s="292">
        <f>SUM(AH26:AH27)</f>
        <v>220.5500000000003</v>
      </c>
      <c r="AM24" s="293"/>
      <c r="AN24" s="116" t="s">
        <v>132</v>
      </c>
    </row>
    <row r="25" spans="1:40" ht="16.5" thickBot="1" x14ac:dyDescent="0.3">
      <c r="A25" s="95"/>
      <c r="B25" s="96"/>
      <c r="C25" s="97"/>
      <c r="D25" s="96"/>
      <c r="E25" s="96"/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  <c r="V25" s="96"/>
      <c r="W25" s="96"/>
      <c r="X25" s="96"/>
      <c r="Y25" s="96"/>
      <c r="Z25" s="96"/>
      <c r="AA25" s="96"/>
      <c r="AB25" s="96"/>
      <c r="AC25" s="96"/>
      <c r="AD25" s="96"/>
      <c r="AE25" s="96"/>
      <c r="AF25" s="96"/>
      <c r="AG25" s="96"/>
      <c r="AH25" s="98"/>
      <c r="AJ25" s="497" t="s">
        <v>76</v>
      </c>
      <c r="AK25" s="511"/>
      <c r="AL25" s="512">
        <f>SUM(AL20:AM24)</f>
        <v>64128.530000000006</v>
      </c>
      <c r="AM25" s="513"/>
      <c r="AN25" s="294">
        <f>AL25-AH24</f>
        <v>-748.81999999999243</v>
      </c>
    </row>
    <row r="26" spans="1:40" ht="15.75" x14ac:dyDescent="0.25">
      <c r="A26" s="415"/>
      <c r="B26" s="414" t="s">
        <v>189</v>
      </c>
      <c r="C26" s="413">
        <f t="shared" ref="C26:AG26" si="8">SUM(C3:C7)-(C18+C20)</f>
        <v>0</v>
      </c>
      <c r="D26" s="413">
        <f>SUM(D3:D7)-(D18+D20+D22)</f>
        <v>16</v>
      </c>
      <c r="E26" s="413">
        <f t="shared" si="8"/>
        <v>0</v>
      </c>
      <c r="F26" s="413">
        <f t="shared" si="8"/>
        <v>100.00000000000045</v>
      </c>
      <c r="G26" s="413">
        <f t="shared" si="8"/>
        <v>0</v>
      </c>
      <c r="H26" s="413">
        <f t="shared" si="8"/>
        <v>-9.9999999999909051E-3</v>
      </c>
      <c r="I26" s="413">
        <f t="shared" si="8"/>
        <v>0</v>
      </c>
      <c r="J26" s="413">
        <f t="shared" si="8"/>
        <v>0</v>
      </c>
      <c r="K26" s="413">
        <f t="shared" si="8"/>
        <v>0</v>
      </c>
      <c r="L26" s="413">
        <f t="shared" si="8"/>
        <v>0</v>
      </c>
      <c r="M26" s="413">
        <f t="shared" si="8"/>
        <v>0</v>
      </c>
      <c r="N26" s="413">
        <f t="shared" si="8"/>
        <v>0</v>
      </c>
      <c r="O26" s="413">
        <f t="shared" si="8"/>
        <v>0</v>
      </c>
      <c r="P26" s="413">
        <f t="shared" si="8"/>
        <v>0</v>
      </c>
      <c r="Q26" s="413">
        <f t="shared" si="8"/>
        <v>0</v>
      </c>
      <c r="R26" s="413">
        <f t="shared" si="8"/>
        <v>0</v>
      </c>
      <c r="S26" s="413">
        <f t="shared" si="8"/>
        <v>0</v>
      </c>
      <c r="T26" s="413">
        <f t="shared" si="8"/>
        <v>0</v>
      </c>
      <c r="U26" s="413">
        <f t="shared" si="8"/>
        <v>0</v>
      </c>
      <c r="V26" s="413">
        <f t="shared" si="8"/>
        <v>0</v>
      </c>
      <c r="W26" s="413">
        <f t="shared" si="8"/>
        <v>0</v>
      </c>
      <c r="X26" s="413">
        <f t="shared" si="8"/>
        <v>0</v>
      </c>
      <c r="Y26" s="413">
        <f t="shared" si="8"/>
        <v>20</v>
      </c>
      <c r="Z26" s="413">
        <f t="shared" si="8"/>
        <v>0</v>
      </c>
      <c r="AA26" s="413">
        <f t="shared" si="8"/>
        <v>0</v>
      </c>
      <c r="AB26" s="413">
        <f t="shared" si="8"/>
        <v>0</v>
      </c>
      <c r="AC26" s="413">
        <f t="shared" si="8"/>
        <v>0</v>
      </c>
      <c r="AD26" s="413">
        <f t="shared" si="8"/>
        <v>0</v>
      </c>
      <c r="AE26" s="413">
        <f t="shared" si="8"/>
        <v>0</v>
      </c>
      <c r="AF26" s="413">
        <f t="shared" si="8"/>
        <v>0</v>
      </c>
      <c r="AG26" s="413">
        <f t="shared" si="8"/>
        <v>0</v>
      </c>
      <c r="AH26" s="110">
        <f>SUM(C26:AG26)</f>
        <v>135.99000000000046</v>
      </c>
    </row>
    <row r="27" spans="1:40" ht="16.5" thickBot="1" x14ac:dyDescent="0.3">
      <c r="A27" s="412"/>
      <c r="B27" s="183" t="s">
        <v>188</v>
      </c>
      <c r="C27" s="411">
        <f t="shared" ref="C27:AG27" si="9">SUM(C9:C13)-(C19+C21)</f>
        <v>0</v>
      </c>
      <c r="D27" s="411">
        <f t="shared" si="9"/>
        <v>0</v>
      </c>
      <c r="E27" s="411">
        <f t="shared" si="9"/>
        <v>0</v>
      </c>
      <c r="F27" s="411">
        <f t="shared" si="9"/>
        <v>0</v>
      </c>
      <c r="G27" s="411">
        <f t="shared" si="9"/>
        <v>0</v>
      </c>
      <c r="H27" s="411">
        <f t="shared" si="9"/>
        <v>0</v>
      </c>
      <c r="I27" s="411">
        <f t="shared" si="9"/>
        <v>0</v>
      </c>
      <c r="J27" s="411">
        <f t="shared" si="9"/>
        <v>0</v>
      </c>
      <c r="K27" s="411">
        <f t="shared" si="9"/>
        <v>0</v>
      </c>
      <c r="L27" s="411">
        <f t="shared" si="9"/>
        <v>0</v>
      </c>
      <c r="M27" s="411">
        <f t="shared" si="9"/>
        <v>0</v>
      </c>
      <c r="N27" s="411">
        <f t="shared" si="9"/>
        <v>0</v>
      </c>
      <c r="O27" s="411">
        <f t="shared" si="9"/>
        <v>0</v>
      </c>
      <c r="P27" s="411">
        <f t="shared" si="9"/>
        <v>0</v>
      </c>
      <c r="Q27" s="411">
        <f t="shared" si="9"/>
        <v>0</v>
      </c>
      <c r="R27" s="411">
        <f t="shared" si="9"/>
        <v>0</v>
      </c>
      <c r="S27" s="411">
        <f t="shared" si="9"/>
        <v>0</v>
      </c>
      <c r="T27" s="411">
        <f t="shared" si="9"/>
        <v>0</v>
      </c>
      <c r="U27" s="411">
        <f t="shared" si="9"/>
        <v>0</v>
      </c>
      <c r="V27" s="411">
        <f t="shared" si="9"/>
        <v>0</v>
      </c>
      <c r="W27" s="411">
        <f t="shared" si="9"/>
        <v>0</v>
      </c>
      <c r="X27" s="411">
        <f t="shared" si="9"/>
        <v>0</v>
      </c>
      <c r="Y27" s="411">
        <f t="shared" si="9"/>
        <v>9.9999999999998863</v>
      </c>
      <c r="Z27" s="411">
        <f t="shared" si="9"/>
        <v>0</v>
      </c>
      <c r="AA27" s="411">
        <f t="shared" si="9"/>
        <v>0</v>
      </c>
      <c r="AB27" s="411">
        <f t="shared" si="9"/>
        <v>0</v>
      </c>
      <c r="AC27" s="411">
        <f t="shared" si="9"/>
        <v>0</v>
      </c>
      <c r="AD27" s="411">
        <f t="shared" si="9"/>
        <v>0</v>
      </c>
      <c r="AE27" s="411">
        <f t="shared" si="9"/>
        <v>0</v>
      </c>
      <c r="AF27" s="411">
        <f t="shared" si="9"/>
        <v>74.559999999999945</v>
      </c>
      <c r="AG27" s="411">
        <f t="shared" si="9"/>
        <v>0</v>
      </c>
      <c r="AH27" s="112">
        <f>SUM(C27:AG27)</f>
        <v>84.559999999999832</v>
      </c>
    </row>
    <row r="28" spans="1:40" ht="16.5" thickBot="1" x14ac:dyDescent="0.3">
      <c r="A28" s="444"/>
      <c r="B28" s="444"/>
      <c r="C28" s="445"/>
      <c r="D28" s="445"/>
      <c r="E28" s="445"/>
      <c r="F28" s="445"/>
      <c r="G28" s="445"/>
      <c r="H28" s="445"/>
      <c r="I28" s="445"/>
      <c r="J28" s="445"/>
      <c r="K28" s="445"/>
      <c r="L28" s="445"/>
      <c r="M28" s="445"/>
      <c r="N28" s="445"/>
      <c r="O28" s="445"/>
      <c r="P28" s="445"/>
      <c r="Q28" s="445"/>
      <c r="R28" s="445"/>
      <c r="S28" s="445"/>
      <c r="T28" s="445"/>
      <c r="U28" s="445"/>
      <c r="V28" s="445"/>
      <c r="W28" s="445"/>
      <c r="X28" s="445"/>
      <c r="Y28" s="445"/>
      <c r="Z28" s="445"/>
      <c r="AA28" s="445"/>
      <c r="AB28" s="445"/>
      <c r="AC28" s="445"/>
      <c r="AD28" s="445"/>
      <c r="AE28" s="445"/>
      <c r="AF28" s="445"/>
      <c r="AG28" s="445"/>
      <c r="AH28" s="446"/>
    </row>
    <row r="29" spans="1:40" ht="16.5" thickBot="1" x14ac:dyDescent="0.3">
      <c r="A29" s="447" t="s">
        <v>212</v>
      </c>
      <c r="B29" s="448" t="s">
        <v>202</v>
      </c>
      <c r="C29" s="479">
        <v>23.26</v>
      </c>
      <c r="D29" s="479">
        <v>24.88</v>
      </c>
      <c r="E29" s="479">
        <v>74.099999999999994</v>
      </c>
      <c r="F29" s="479">
        <v>91.03</v>
      </c>
      <c r="G29" s="479">
        <v>49.45</v>
      </c>
      <c r="H29" s="479">
        <v>27.11</v>
      </c>
      <c r="I29" s="479">
        <v>24.14</v>
      </c>
      <c r="J29" s="479">
        <v>18.14</v>
      </c>
      <c r="K29" s="479">
        <v>22.02</v>
      </c>
      <c r="L29" s="479">
        <v>31.09</v>
      </c>
      <c r="M29" s="479">
        <v>34.67</v>
      </c>
      <c r="N29" s="479">
        <v>22.6</v>
      </c>
      <c r="O29" s="479">
        <v>24.43</v>
      </c>
      <c r="P29" s="479">
        <v>30.12</v>
      </c>
      <c r="Q29" s="479">
        <v>26.41</v>
      </c>
      <c r="R29" s="479">
        <v>33.409999999999997</v>
      </c>
      <c r="S29" s="479">
        <v>37.86</v>
      </c>
      <c r="T29" s="479">
        <v>35.590000000000003</v>
      </c>
      <c r="U29" s="479">
        <v>30.72</v>
      </c>
      <c r="V29" s="479">
        <v>25.02</v>
      </c>
      <c r="W29" s="479">
        <v>14.12</v>
      </c>
      <c r="X29" s="479">
        <v>21.2</v>
      </c>
      <c r="Y29" s="479">
        <v>27.64</v>
      </c>
      <c r="Z29" s="479">
        <v>54.22</v>
      </c>
      <c r="AA29" s="479">
        <v>32.5</v>
      </c>
      <c r="AB29" s="487">
        <v>35.020000000000003</v>
      </c>
      <c r="AC29" s="487">
        <v>25.52</v>
      </c>
      <c r="AD29" s="487">
        <v>21.97</v>
      </c>
      <c r="AE29" s="487">
        <v>25.67</v>
      </c>
      <c r="AF29" s="485">
        <v>25.46</v>
      </c>
      <c r="AG29" s="449"/>
      <c r="AH29" s="450">
        <f>SUM(C29:AG29)</f>
        <v>969.37</v>
      </c>
      <c r="AJ29" s="211" t="s">
        <v>212</v>
      </c>
      <c r="AK29" s="212" t="s">
        <v>204</v>
      </c>
      <c r="AL29" s="271">
        <f>SUM(C29:AA29)</f>
        <v>835.73</v>
      </c>
      <c r="AM29" s="272">
        <f>SUM(AB29:AG29)</f>
        <v>133.64000000000001</v>
      </c>
    </row>
    <row r="30" spans="1:40" ht="16.5" thickBot="1" x14ac:dyDescent="0.3"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  <c r="AA30" s="60"/>
      <c r="AB30" s="60"/>
      <c r="AC30" s="60"/>
      <c r="AD30" s="60"/>
      <c r="AE30" s="60"/>
      <c r="AF30" s="60"/>
      <c r="AG30" s="60"/>
      <c r="AH30" s="61"/>
    </row>
    <row r="31" spans="1:40" ht="16.5" thickBot="1" x14ac:dyDescent="0.3">
      <c r="A31" s="164"/>
      <c r="B31" s="165" t="s">
        <v>57</v>
      </c>
      <c r="C31" s="166"/>
      <c r="D31" s="166"/>
      <c r="E31" s="166"/>
      <c r="F31" s="166"/>
      <c r="G31" s="166"/>
      <c r="H31" s="166"/>
      <c r="I31" s="166"/>
      <c r="J31" s="166"/>
      <c r="K31" s="166"/>
      <c r="L31" s="166"/>
      <c r="M31" s="166"/>
      <c r="N31" s="166"/>
      <c r="O31" s="166"/>
      <c r="P31" s="166"/>
      <c r="Q31" s="166"/>
      <c r="R31" s="166"/>
      <c r="S31" s="166"/>
      <c r="T31" s="166"/>
      <c r="U31" s="166"/>
      <c r="V31" s="166"/>
      <c r="W31" s="166"/>
      <c r="X31" s="166"/>
      <c r="Y31" s="166"/>
      <c r="Z31" s="166"/>
      <c r="AA31" s="166"/>
      <c r="AB31" s="166"/>
      <c r="AC31" s="166"/>
      <c r="AD31" s="166"/>
      <c r="AE31" s="166"/>
      <c r="AF31" s="166"/>
      <c r="AG31" s="166"/>
      <c r="AH31" s="167"/>
      <c r="AJ31" s="506" t="s">
        <v>57</v>
      </c>
      <c r="AK31" s="507"/>
    </row>
    <row r="32" spans="1:40" x14ac:dyDescent="0.25">
      <c r="A32" s="168"/>
      <c r="B32" s="139" t="s">
        <v>75</v>
      </c>
      <c r="C32" s="144">
        <v>104</v>
      </c>
      <c r="D32" s="144">
        <v>127</v>
      </c>
      <c r="E32" s="144">
        <v>354</v>
      </c>
      <c r="F32" s="144">
        <v>381</v>
      </c>
      <c r="G32" s="144">
        <v>273</v>
      </c>
      <c r="H32" s="144">
        <v>118</v>
      </c>
      <c r="I32" s="144">
        <v>122</v>
      </c>
      <c r="J32" s="144">
        <v>86</v>
      </c>
      <c r="K32" s="144">
        <v>80</v>
      </c>
      <c r="L32" s="144">
        <v>162</v>
      </c>
      <c r="M32" s="144">
        <v>192</v>
      </c>
      <c r="N32" s="144">
        <v>76</v>
      </c>
      <c r="O32" s="144">
        <f>120-5</f>
        <v>115</v>
      </c>
      <c r="P32" s="144">
        <v>133</v>
      </c>
      <c r="Q32" s="144">
        <v>125</v>
      </c>
      <c r="R32" s="144">
        <v>140</v>
      </c>
      <c r="S32" s="144">
        <f>160-3</f>
        <v>157</v>
      </c>
      <c r="T32" s="144">
        <v>150</v>
      </c>
      <c r="U32" s="144">
        <v>148</v>
      </c>
      <c r="V32" s="144">
        <v>139</v>
      </c>
      <c r="W32" s="144">
        <v>101</v>
      </c>
      <c r="X32" s="144">
        <v>77</v>
      </c>
      <c r="Y32" s="144">
        <v>106</v>
      </c>
      <c r="Z32" s="144">
        <f>228-4</f>
        <v>224</v>
      </c>
      <c r="AA32" s="144">
        <v>155</v>
      </c>
      <c r="AB32" s="144">
        <v>169</v>
      </c>
      <c r="AC32" s="144">
        <v>99</v>
      </c>
      <c r="AD32" s="144">
        <v>115</v>
      </c>
      <c r="AE32" s="144">
        <f>131-2</f>
        <v>129</v>
      </c>
      <c r="AF32" s="144">
        <v>144</v>
      </c>
      <c r="AG32" s="144">
        <f>'[1]TEMP Summary'!$T$22</f>
        <v>0</v>
      </c>
      <c r="AH32" s="410">
        <f t="shared" ref="AH32:AH44" si="10">SUM(C32:AG32)</f>
        <v>4501</v>
      </c>
      <c r="AJ32" s="257">
        <f>AH32+AH39</f>
        <v>8304</v>
      </c>
      <c r="AK32" s="258" t="s">
        <v>75</v>
      </c>
    </row>
    <row r="33" spans="1:37" x14ac:dyDescent="0.25">
      <c r="A33" s="168"/>
      <c r="B33" s="143" t="s">
        <v>74</v>
      </c>
      <c r="C33" s="144">
        <v>10</v>
      </c>
      <c r="D33" s="144">
        <v>18</v>
      </c>
      <c r="E33" s="144">
        <v>90</v>
      </c>
      <c r="F33" s="144">
        <v>106</v>
      </c>
      <c r="G33" s="144">
        <v>58</v>
      </c>
      <c r="H33" s="144">
        <v>9</v>
      </c>
      <c r="I33" s="144">
        <v>0</v>
      </c>
      <c r="J33" s="144">
        <v>1</v>
      </c>
      <c r="K33" s="144">
        <v>10</v>
      </c>
      <c r="L33" s="144">
        <v>33</v>
      </c>
      <c r="M33" s="144">
        <v>30</v>
      </c>
      <c r="N33" s="144">
        <v>2</v>
      </c>
      <c r="O33" s="144">
        <v>2</v>
      </c>
      <c r="P33" s="144">
        <v>3</v>
      </c>
      <c r="Q33" s="144">
        <v>8</v>
      </c>
      <c r="R33" s="144">
        <v>9</v>
      </c>
      <c r="S33" s="144">
        <v>19</v>
      </c>
      <c r="T33" s="144">
        <v>31</v>
      </c>
      <c r="U33" s="144">
        <v>6</v>
      </c>
      <c r="V33" s="144">
        <v>15</v>
      </c>
      <c r="W33" s="144">
        <v>2</v>
      </c>
      <c r="X33" s="144">
        <v>6</v>
      </c>
      <c r="Y33" s="144">
        <v>8</v>
      </c>
      <c r="Z33" s="144">
        <v>40</v>
      </c>
      <c r="AA33" s="144">
        <v>24</v>
      </c>
      <c r="AB33" s="144">
        <v>15</v>
      </c>
      <c r="AC33" s="144">
        <v>11</v>
      </c>
      <c r="AD33" s="144">
        <v>12</v>
      </c>
      <c r="AE33" s="144">
        <v>8</v>
      </c>
      <c r="AF33" s="144">
        <v>20</v>
      </c>
      <c r="AG33" s="144">
        <f>'[1]TEMP Summary'!$T$22</f>
        <v>0</v>
      </c>
      <c r="AH33" s="409">
        <f t="shared" si="10"/>
        <v>606</v>
      </c>
      <c r="AJ33" s="257">
        <f t="shared" ref="AJ33:AJ37" si="11">AH33+AH40</f>
        <v>1089</v>
      </c>
      <c r="AK33" s="258" t="s">
        <v>74</v>
      </c>
    </row>
    <row r="34" spans="1:37" x14ac:dyDescent="0.25">
      <c r="A34" s="168"/>
      <c r="B34" s="143" t="s">
        <v>208</v>
      </c>
      <c r="C34" s="144">
        <v>1</v>
      </c>
      <c r="D34" s="144">
        <f>'[1]TEMP Summary'!$T$22</f>
        <v>0</v>
      </c>
      <c r="E34" s="144">
        <v>18</v>
      </c>
      <c r="F34" s="144">
        <v>30</v>
      </c>
      <c r="G34" s="144">
        <v>13</v>
      </c>
      <c r="H34" s="144">
        <v>5</v>
      </c>
      <c r="I34" s="144">
        <v>0</v>
      </c>
      <c r="J34" s="144">
        <v>2</v>
      </c>
      <c r="K34" s="144">
        <f>'[1]TEMP Summary'!$T$22</f>
        <v>0</v>
      </c>
      <c r="L34" s="144">
        <v>8</v>
      </c>
      <c r="M34" s="144">
        <v>4</v>
      </c>
      <c r="N34" s="144">
        <v>1</v>
      </c>
      <c r="O34" s="144">
        <f>'[1]TEMP Summary'!$T$22</f>
        <v>0</v>
      </c>
      <c r="P34" s="144">
        <f>'[1]TEMP Summary'!$T$22</f>
        <v>0</v>
      </c>
      <c r="Q34" s="144">
        <v>2</v>
      </c>
      <c r="R34" s="144">
        <f>'[1]TEMP Summary'!$T$22</f>
        <v>0</v>
      </c>
      <c r="S34" s="144">
        <v>4</v>
      </c>
      <c r="T34" s="144">
        <v>4</v>
      </c>
      <c r="U34" s="144">
        <v>3</v>
      </c>
      <c r="V34" s="144">
        <v>1</v>
      </c>
      <c r="W34" s="144">
        <f>'[1]TEMP Summary'!$T$22</f>
        <v>0</v>
      </c>
      <c r="X34" s="144">
        <v>1</v>
      </c>
      <c r="Y34" s="144">
        <f>'[1]TEMP Summary'!$T$22</f>
        <v>0</v>
      </c>
      <c r="Z34" s="144">
        <v>11</v>
      </c>
      <c r="AA34" s="144">
        <v>11</v>
      </c>
      <c r="AB34" s="144">
        <v>8</v>
      </c>
      <c r="AC34" s="144">
        <v>4</v>
      </c>
      <c r="AD34" s="144">
        <v>1</v>
      </c>
      <c r="AE34" s="144">
        <v>4</v>
      </c>
      <c r="AF34" s="144">
        <f>'[1]TEMP Summary'!$T$22</f>
        <v>0</v>
      </c>
      <c r="AG34" s="144">
        <f>'[1]TEMP Summary'!$T$22</f>
        <v>0</v>
      </c>
      <c r="AH34" s="409">
        <f t="shared" si="10"/>
        <v>136</v>
      </c>
      <c r="AJ34" s="257">
        <f t="shared" si="11"/>
        <v>232</v>
      </c>
      <c r="AK34" s="258" t="s">
        <v>209</v>
      </c>
    </row>
    <row r="35" spans="1:37" x14ac:dyDescent="0.25">
      <c r="A35" s="168"/>
      <c r="B35" s="143" t="s">
        <v>72</v>
      </c>
      <c r="C35" s="144">
        <f>'[1]TEMP Summary'!$T$22</f>
        <v>0</v>
      </c>
      <c r="D35" s="144">
        <f>'[1]TEMP Summary'!$T$22</f>
        <v>0</v>
      </c>
      <c r="E35" s="144">
        <f>'[1]TEMP Summary'!$T$22</f>
        <v>0</v>
      </c>
      <c r="F35" s="144">
        <f>'[1]TEMP Summary'!$T$22</f>
        <v>0</v>
      </c>
      <c r="G35" s="144">
        <f>'[1]TEMP Summary'!$T$22</f>
        <v>0</v>
      </c>
      <c r="H35" s="144">
        <f>'[1]TEMP Summary'!$T$22</f>
        <v>0</v>
      </c>
      <c r="I35" s="144">
        <f>'[1]TEMP Summary'!$T$22</f>
        <v>0</v>
      </c>
      <c r="J35" s="144">
        <f>'[1]TEMP Summary'!$T$22</f>
        <v>0</v>
      </c>
      <c r="K35" s="144">
        <f>'[1]TEMP Summary'!$T$22</f>
        <v>0</v>
      </c>
      <c r="L35" s="144">
        <f>'[1]TEMP Summary'!$T$22</f>
        <v>0</v>
      </c>
      <c r="M35" s="144">
        <f>'[1]TEMP Summary'!$T$22</f>
        <v>0</v>
      </c>
      <c r="N35" s="144">
        <f>'[1]TEMP Summary'!$T$22</f>
        <v>0</v>
      </c>
      <c r="O35" s="144">
        <v>0</v>
      </c>
      <c r="P35" s="144">
        <f>'[1]TEMP Summary'!$T$22</f>
        <v>0</v>
      </c>
      <c r="Q35" s="144">
        <f>'[1]TEMP Summary'!$T$22</f>
        <v>0</v>
      </c>
      <c r="R35" s="144">
        <v>12</v>
      </c>
      <c r="S35" s="144">
        <f>'[1]TEMP Summary'!$T$22</f>
        <v>0</v>
      </c>
      <c r="T35" s="144">
        <f>'[1]TEMP Summary'!$T$22</f>
        <v>0</v>
      </c>
      <c r="U35" s="144">
        <f>'[1]TEMP Summary'!$T$22</f>
        <v>0</v>
      </c>
      <c r="V35" s="144">
        <f>'[1]TEMP Summary'!$T$22</f>
        <v>0</v>
      </c>
      <c r="W35" s="144">
        <f>'[1]TEMP Summary'!$T$22</f>
        <v>0</v>
      </c>
      <c r="X35" s="144">
        <f>'[1]TEMP Summary'!$T$22</f>
        <v>0</v>
      </c>
      <c r="Y35" s="144">
        <f>'[1]TEMP Summary'!$T$22</f>
        <v>0</v>
      </c>
      <c r="Z35" s="144">
        <f>'[1]TEMP Summary'!$T$22</f>
        <v>0</v>
      </c>
      <c r="AA35" s="144">
        <f>'[1]TEMP Summary'!$T$22</f>
        <v>0</v>
      </c>
      <c r="AB35" s="144">
        <v>0</v>
      </c>
      <c r="AC35" s="144">
        <f>'[1]TEMP Summary'!$T$22</f>
        <v>0</v>
      </c>
      <c r="AD35" s="144">
        <f>'[1]TEMP Summary'!$T$22</f>
        <v>0</v>
      </c>
      <c r="AE35" s="144">
        <f>'[1]TEMP Summary'!$T$22</f>
        <v>0</v>
      </c>
      <c r="AF35" s="144">
        <f>'[1]TEMP Summary'!$T$22</f>
        <v>0</v>
      </c>
      <c r="AG35" s="144">
        <f>'[1]TEMP Summary'!$T$22</f>
        <v>0</v>
      </c>
      <c r="AH35" s="409">
        <f t="shared" si="10"/>
        <v>12</v>
      </c>
      <c r="AJ35" s="257">
        <f t="shared" si="11"/>
        <v>45</v>
      </c>
      <c r="AK35" s="258" t="s">
        <v>72</v>
      </c>
    </row>
    <row r="36" spans="1:37" x14ac:dyDescent="0.25">
      <c r="A36" s="168"/>
      <c r="B36" s="143" t="s">
        <v>73</v>
      </c>
      <c r="C36" s="144">
        <v>46</v>
      </c>
      <c r="D36" s="144">
        <v>25</v>
      </c>
      <c r="E36" s="144">
        <v>73</v>
      </c>
      <c r="F36" s="144">
        <v>30</v>
      </c>
      <c r="G36" s="144">
        <v>33</v>
      </c>
      <c r="H36" s="144">
        <v>49</v>
      </c>
      <c r="I36" s="144">
        <v>44</v>
      </c>
      <c r="J36" s="144">
        <v>61</v>
      </c>
      <c r="K36" s="144">
        <v>44</v>
      </c>
      <c r="L36" s="144">
        <v>58</v>
      </c>
      <c r="M36" s="144">
        <v>31</v>
      </c>
      <c r="N36" s="144">
        <v>31</v>
      </c>
      <c r="O36" s="144">
        <v>88</v>
      </c>
      <c r="P36" s="144">
        <v>86</v>
      </c>
      <c r="Q36" s="144">
        <v>76</v>
      </c>
      <c r="R36" s="144">
        <v>76</v>
      </c>
      <c r="S36" s="144">
        <v>70</v>
      </c>
      <c r="T36" s="144">
        <v>52</v>
      </c>
      <c r="U36" s="144">
        <v>76</v>
      </c>
      <c r="V36" s="144">
        <v>76</v>
      </c>
      <c r="W36" s="144">
        <v>68</v>
      </c>
      <c r="X36" s="144">
        <v>27</v>
      </c>
      <c r="Y36" s="144">
        <v>72</v>
      </c>
      <c r="Z36" s="144">
        <v>81</v>
      </c>
      <c r="AA36" s="144">
        <v>45</v>
      </c>
      <c r="AB36" s="144">
        <v>49</v>
      </c>
      <c r="AC36" s="144">
        <v>60</v>
      </c>
      <c r="AD36" s="144">
        <v>81</v>
      </c>
      <c r="AE36" s="144">
        <f>84-1</f>
        <v>83</v>
      </c>
      <c r="AF36" s="144">
        <v>60</v>
      </c>
      <c r="AG36" s="144">
        <f>'[1]TEMP Summary'!$T$22</f>
        <v>0</v>
      </c>
      <c r="AH36" s="409">
        <f t="shared" si="10"/>
        <v>1751</v>
      </c>
      <c r="AJ36" s="257">
        <f t="shared" si="11"/>
        <v>3044</v>
      </c>
      <c r="AK36" s="258" t="s">
        <v>73</v>
      </c>
    </row>
    <row r="37" spans="1:37" x14ac:dyDescent="0.25">
      <c r="A37" s="168"/>
      <c r="B37" s="143" t="s">
        <v>71</v>
      </c>
      <c r="C37" s="144">
        <v>12</v>
      </c>
      <c r="D37" s="144">
        <v>2</v>
      </c>
      <c r="E37" s="144">
        <v>6</v>
      </c>
      <c r="F37" s="144">
        <v>6</v>
      </c>
      <c r="G37" s="144">
        <v>20</v>
      </c>
      <c r="H37" s="144">
        <v>5</v>
      </c>
      <c r="I37" s="144">
        <v>4</v>
      </c>
      <c r="J37" s="144">
        <v>5</v>
      </c>
      <c r="K37" s="144">
        <v>5</v>
      </c>
      <c r="L37" s="144">
        <v>8</v>
      </c>
      <c r="M37" s="144">
        <v>19</v>
      </c>
      <c r="N37" s="144">
        <v>6</v>
      </c>
      <c r="O37" s="144">
        <v>8</v>
      </c>
      <c r="P37" s="144">
        <v>6</v>
      </c>
      <c r="Q37" s="144">
        <v>13</v>
      </c>
      <c r="R37" s="144">
        <v>6</v>
      </c>
      <c r="S37" s="144">
        <v>6</v>
      </c>
      <c r="T37" s="144">
        <v>7</v>
      </c>
      <c r="U37" s="144">
        <v>19</v>
      </c>
      <c r="V37" s="144">
        <v>9</v>
      </c>
      <c r="W37" s="144">
        <v>8</v>
      </c>
      <c r="X37" s="144">
        <v>6</v>
      </c>
      <c r="Y37" s="144">
        <v>11</v>
      </c>
      <c r="Z37" s="144">
        <v>8</v>
      </c>
      <c r="AA37" s="144">
        <v>16</v>
      </c>
      <c r="AB37" s="144">
        <v>25</v>
      </c>
      <c r="AC37" s="144">
        <v>11</v>
      </c>
      <c r="AD37" s="144">
        <v>17</v>
      </c>
      <c r="AE37" s="144">
        <v>11</v>
      </c>
      <c r="AF37" s="144">
        <v>1</v>
      </c>
      <c r="AG37" s="144">
        <f>'[1]TEMP Summary'!$T$22</f>
        <v>0</v>
      </c>
      <c r="AH37" s="409">
        <f t="shared" si="10"/>
        <v>286</v>
      </c>
      <c r="AJ37" s="257">
        <f t="shared" si="11"/>
        <v>493</v>
      </c>
      <c r="AK37" s="258" t="s">
        <v>71</v>
      </c>
    </row>
    <row r="38" spans="1:37" ht="15.75" thickBot="1" x14ac:dyDescent="0.3">
      <c r="A38" s="168"/>
      <c r="B38" s="439" t="s">
        <v>187</v>
      </c>
      <c r="C38" s="440">
        <f t="shared" ref="C38:AG38" si="12">SUM(C32:C37)</f>
        <v>173</v>
      </c>
      <c r="D38" s="441">
        <f t="shared" si="12"/>
        <v>172</v>
      </c>
      <c r="E38" s="441">
        <f t="shared" si="12"/>
        <v>541</v>
      </c>
      <c r="F38" s="441">
        <f t="shared" si="12"/>
        <v>553</v>
      </c>
      <c r="G38" s="441">
        <f t="shared" si="12"/>
        <v>397</v>
      </c>
      <c r="H38" s="441">
        <f t="shared" si="12"/>
        <v>186</v>
      </c>
      <c r="I38" s="441">
        <f t="shared" si="12"/>
        <v>170</v>
      </c>
      <c r="J38" s="441">
        <f t="shared" si="12"/>
        <v>155</v>
      </c>
      <c r="K38" s="441">
        <f t="shared" si="12"/>
        <v>139</v>
      </c>
      <c r="L38" s="441">
        <f t="shared" si="12"/>
        <v>269</v>
      </c>
      <c r="M38" s="441">
        <f t="shared" si="12"/>
        <v>276</v>
      </c>
      <c r="N38" s="441">
        <f t="shared" si="12"/>
        <v>116</v>
      </c>
      <c r="O38" s="441">
        <f t="shared" si="12"/>
        <v>213</v>
      </c>
      <c r="P38" s="441">
        <f t="shared" si="12"/>
        <v>228</v>
      </c>
      <c r="Q38" s="441">
        <f t="shared" si="12"/>
        <v>224</v>
      </c>
      <c r="R38" s="441">
        <f t="shared" si="12"/>
        <v>243</v>
      </c>
      <c r="S38" s="441">
        <f t="shared" si="12"/>
        <v>256</v>
      </c>
      <c r="T38" s="441">
        <f t="shared" si="12"/>
        <v>244</v>
      </c>
      <c r="U38" s="441">
        <f t="shared" si="12"/>
        <v>252</v>
      </c>
      <c r="V38" s="441">
        <f t="shared" si="12"/>
        <v>240</v>
      </c>
      <c r="W38" s="441">
        <f t="shared" si="12"/>
        <v>179</v>
      </c>
      <c r="X38" s="441">
        <f t="shared" si="12"/>
        <v>117</v>
      </c>
      <c r="Y38" s="441">
        <f t="shared" si="12"/>
        <v>197</v>
      </c>
      <c r="Z38" s="441">
        <f t="shared" si="12"/>
        <v>364</v>
      </c>
      <c r="AA38" s="441">
        <f t="shared" si="12"/>
        <v>251</v>
      </c>
      <c r="AB38" s="441">
        <f t="shared" si="12"/>
        <v>266</v>
      </c>
      <c r="AC38" s="441">
        <f t="shared" si="12"/>
        <v>185</v>
      </c>
      <c r="AD38" s="441">
        <f t="shared" si="12"/>
        <v>226</v>
      </c>
      <c r="AE38" s="441">
        <f t="shared" si="12"/>
        <v>235</v>
      </c>
      <c r="AF38" s="441">
        <f t="shared" si="12"/>
        <v>225</v>
      </c>
      <c r="AG38" s="442">
        <f t="shared" si="12"/>
        <v>0</v>
      </c>
      <c r="AH38" s="408">
        <f>SUM(C38:AG38)</f>
        <v>7292</v>
      </c>
      <c r="AJ38" s="257"/>
      <c r="AK38" s="258"/>
    </row>
    <row r="39" spans="1:37" x14ac:dyDescent="0.25">
      <c r="A39" s="168"/>
      <c r="B39" s="407" t="s">
        <v>75</v>
      </c>
      <c r="C39" s="140">
        <f>179-C32</f>
        <v>75</v>
      </c>
      <c r="D39" s="140">
        <f>234-D32</f>
        <v>107</v>
      </c>
      <c r="E39" s="140">
        <f>643-E32</f>
        <v>289</v>
      </c>
      <c r="F39" s="140">
        <f>685-F32</f>
        <v>304</v>
      </c>
      <c r="G39" s="140">
        <f>412-G32</f>
        <v>139</v>
      </c>
      <c r="H39" s="140">
        <f>213-H32</f>
        <v>95</v>
      </c>
      <c r="I39" s="140">
        <f>221-I32</f>
        <v>99</v>
      </c>
      <c r="J39" s="140">
        <f>185-J32</f>
        <v>99</v>
      </c>
      <c r="K39" s="140">
        <f>176-K32</f>
        <v>96</v>
      </c>
      <c r="L39" s="140">
        <f>305-L32</f>
        <v>143</v>
      </c>
      <c r="M39" s="140">
        <f>305-M32</f>
        <v>113</v>
      </c>
      <c r="N39" s="140">
        <f>212-N32</f>
        <v>136</v>
      </c>
      <c r="O39" s="140">
        <f>213-O32-5</f>
        <v>93</v>
      </c>
      <c r="P39" s="140">
        <f>258-P32</f>
        <v>125</v>
      </c>
      <c r="Q39" s="140">
        <f>248-Q32</f>
        <v>123</v>
      </c>
      <c r="R39" s="140">
        <f>245-R32</f>
        <v>105</v>
      </c>
      <c r="S39" s="140">
        <f>355-S32-3</f>
        <v>195</v>
      </c>
      <c r="T39" s="140">
        <f>297-T32</f>
        <v>147</v>
      </c>
      <c r="U39" s="140">
        <f>249-U32</f>
        <v>101</v>
      </c>
      <c r="V39" s="140">
        <f>220-V32</f>
        <v>81</v>
      </c>
      <c r="W39" s="140">
        <f>157-W32</f>
        <v>56</v>
      </c>
      <c r="X39" s="140">
        <f>169-X32</f>
        <v>92</v>
      </c>
      <c r="Y39" s="140">
        <f>212-Y32</f>
        <v>106</v>
      </c>
      <c r="Z39" s="140">
        <f>361-Z32-4</f>
        <v>133</v>
      </c>
      <c r="AA39" s="140">
        <f>291-AA32</f>
        <v>136</v>
      </c>
      <c r="AB39" s="140">
        <f>280-AB32</f>
        <v>111</v>
      </c>
      <c r="AC39" s="140">
        <f>219-AC32</f>
        <v>120</v>
      </c>
      <c r="AD39" s="140">
        <v>197</v>
      </c>
      <c r="AE39" s="140">
        <f>223-AE32-2</f>
        <v>92</v>
      </c>
      <c r="AF39" s="140">
        <f>239-AF32</f>
        <v>95</v>
      </c>
      <c r="AG39" s="141">
        <f>'[1]TEMP Summary'!$T$22</f>
        <v>0</v>
      </c>
      <c r="AH39" s="142">
        <f t="shared" si="10"/>
        <v>3803</v>
      </c>
      <c r="AJ39" s="257"/>
      <c r="AK39" s="258"/>
    </row>
    <row r="40" spans="1:37" x14ac:dyDescent="0.25">
      <c r="A40" s="168"/>
      <c r="B40" s="143" t="s">
        <v>74</v>
      </c>
      <c r="C40" s="144">
        <f>32-C33</f>
        <v>22</v>
      </c>
      <c r="D40" s="144">
        <f>36-D33</f>
        <v>18</v>
      </c>
      <c r="E40" s="144">
        <f>161-E33</f>
        <v>71</v>
      </c>
      <c r="F40" s="144">
        <f>194-F33</f>
        <v>88</v>
      </c>
      <c r="G40" s="144">
        <f>92-G33</f>
        <v>34</v>
      </c>
      <c r="H40" s="144">
        <f>17-H33</f>
        <v>8</v>
      </c>
      <c r="I40" s="144">
        <v>7</v>
      </c>
      <c r="J40" s="144">
        <f>8-J33</f>
        <v>7</v>
      </c>
      <c r="K40" s="144">
        <f>28-K33</f>
        <v>18</v>
      </c>
      <c r="L40" s="144">
        <f>50-L33</f>
        <v>17</v>
      </c>
      <c r="M40" s="144">
        <f>44-M33</f>
        <v>14</v>
      </c>
      <c r="N40" s="144">
        <f>10-N33</f>
        <v>8</v>
      </c>
      <c r="O40" s="144">
        <f>8-O33</f>
        <v>6</v>
      </c>
      <c r="P40" s="144">
        <f>10-P33</f>
        <v>7</v>
      </c>
      <c r="Q40" s="144">
        <f>14-Q33</f>
        <v>6</v>
      </c>
      <c r="R40" s="144">
        <f>18-R33</f>
        <v>9</v>
      </c>
      <c r="S40" s="144">
        <f>45-S33</f>
        <v>26</v>
      </c>
      <c r="T40" s="144">
        <f>47-T33</f>
        <v>16</v>
      </c>
      <c r="U40" s="144">
        <f>10-U33</f>
        <v>4</v>
      </c>
      <c r="V40" s="144">
        <f>22-V33</f>
        <v>7</v>
      </c>
      <c r="W40" s="144">
        <f>6-W33</f>
        <v>4</v>
      </c>
      <c r="X40" s="144">
        <f>13-X33</f>
        <v>7</v>
      </c>
      <c r="Y40" s="144">
        <f>16-Y33</f>
        <v>8</v>
      </c>
      <c r="Z40" s="144">
        <f>55-Z33</f>
        <v>15</v>
      </c>
      <c r="AA40" s="144">
        <f>43-AA33</f>
        <v>19</v>
      </c>
      <c r="AB40" s="144">
        <f>24-AB33</f>
        <v>9</v>
      </c>
      <c r="AC40" s="144">
        <f>14-AC33</f>
        <v>3</v>
      </c>
      <c r="AD40" s="144">
        <v>15</v>
      </c>
      <c r="AE40" s="144">
        <f>11-AE33</f>
        <v>3</v>
      </c>
      <c r="AF40" s="144">
        <f>27-AF33</f>
        <v>7</v>
      </c>
      <c r="AG40" s="145">
        <f>'[1]TEMP Summary'!$T$22</f>
        <v>0</v>
      </c>
      <c r="AH40" s="142">
        <f t="shared" si="10"/>
        <v>483</v>
      </c>
      <c r="AJ40" s="257"/>
      <c r="AK40" s="258"/>
    </row>
    <row r="41" spans="1:37" x14ac:dyDescent="0.25">
      <c r="A41" s="168"/>
      <c r="B41" s="143" t="s">
        <v>208</v>
      </c>
      <c r="C41" s="144">
        <f>4-C34</f>
        <v>3</v>
      </c>
      <c r="D41" s="144">
        <f>'[1]TEMP Summary'!$T$22</f>
        <v>0</v>
      </c>
      <c r="E41" s="144">
        <f>20-E34</f>
        <v>2</v>
      </c>
      <c r="F41" s="144">
        <f>47-F34</f>
        <v>17</v>
      </c>
      <c r="G41" s="144">
        <f>'[1]TEMP Summary'!$T$22</f>
        <v>0</v>
      </c>
      <c r="H41" s="144">
        <f>9-H34</f>
        <v>4</v>
      </c>
      <c r="I41" s="144">
        <v>1</v>
      </c>
      <c r="J41" s="144">
        <f>6-J34</f>
        <v>4</v>
      </c>
      <c r="K41" s="144">
        <f>'[1]TEMP Summary'!$T$22</f>
        <v>0</v>
      </c>
      <c r="L41" s="144">
        <f>10-L34</f>
        <v>2</v>
      </c>
      <c r="M41" s="144">
        <f>8-M34</f>
        <v>4</v>
      </c>
      <c r="N41" s="144">
        <f>3-N34</f>
        <v>2</v>
      </c>
      <c r="O41" s="144">
        <f>'[1]TEMP Summary'!$T$22</f>
        <v>0</v>
      </c>
      <c r="P41" s="144">
        <v>6</v>
      </c>
      <c r="Q41" s="144">
        <f>8-Q34</f>
        <v>6</v>
      </c>
      <c r="R41" s="144">
        <v>3</v>
      </c>
      <c r="S41" s="144">
        <f>10-S34</f>
        <v>6</v>
      </c>
      <c r="T41" s="144">
        <f>10-T34</f>
        <v>6</v>
      </c>
      <c r="U41" s="144">
        <f>7-U34</f>
        <v>4</v>
      </c>
      <c r="V41" s="144">
        <f>2-V34</f>
        <v>1</v>
      </c>
      <c r="W41" s="144">
        <v>1</v>
      </c>
      <c r="X41" s="144">
        <f>3-X34</f>
        <v>2</v>
      </c>
      <c r="Y41" s="144">
        <v>3</v>
      </c>
      <c r="Z41" s="144">
        <f>14-Z34</f>
        <v>3</v>
      </c>
      <c r="AA41" s="144">
        <f>15-AA34</f>
        <v>4</v>
      </c>
      <c r="AB41" s="144">
        <f>10-AB34</f>
        <v>2</v>
      </c>
      <c r="AC41" s="144">
        <f>7-AC34</f>
        <v>3</v>
      </c>
      <c r="AD41" s="144">
        <v>7</v>
      </c>
      <c r="AE41" s="144">
        <f>'[1]TEMP Summary'!$T$22</f>
        <v>0</v>
      </c>
      <c r="AF41" s="144">
        <f>'[1]TEMP Summary'!$T$22</f>
        <v>0</v>
      </c>
      <c r="AG41" s="145">
        <f>'[1]TEMP Summary'!$T$22</f>
        <v>0</v>
      </c>
      <c r="AH41" s="142">
        <f t="shared" si="10"/>
        <v>96</v>
      </c>
      <c r="AJ41" s="257"/>
      <c r="AK41" s="258"/>
    </row>
    <row r="42" spans="1:37" x14ac:dyDescent="0.25">
      <c r="A42" s="168"/>
      <c r="B42" s="143" t="s">
        <v>72</v>
      </c>
      <c r="C42" s="144">
        <f>'[1]TEMP Summary'!$T$22</f>
        <v>0</v>
      </c>
      <c r="D42" s="144">
        <f>'[1]TEMP Summary'!$T$22</f>
        <v>0</v>
      </c>
      <c r="E42" s="144">
        <v>18</v>
      </c>
      <c r="F42" s="144">
        <v>15</v>
      </c>
      <c r="G42" s="144">
        <f>'[1]TEMP Summary'!$T$22</f>
        <v>0</v>
      </c>
      <c r="H42" s="144">
        <f>'[1]TEMP Summary'!$T$22</f>
        <v>0</v>
      </c>
      <c r="I42" s="144">
        <f>'[1]TEMP Summary'!$T$22</f>
        <v>0</v>
      </c>
      <c r="J42" s="144">
        <f>'[1]TEMP Summary'!$T$22</f>
        <v>0</v>
      </c>
      <c r="K42" s="144">
        <f>'[1]TEMP Summary'!$T$22</f>
        <v>0</v>
      </c>
      <c r="L42" s="144">
        <f>'[1]TEMP Summary'!$T$22</f>
        <v>0</v>
      </c>
      <c r="M42" s="144">
        <f>'[1]TEMP Summary'!$T$22</f>
        <v>0</v>
      </c>
      <c r="N42" s="144">
        <f>'[1]TEMP Summary'!$T$22</f>
        <v>0</v>
      </c>
      <c r="O42" s="144">
        <f>'[1]TEMP Summary'!$T$22</f>
        <v>0</v>
      </c>
      <c r="P42" s="144">
        <f>'[1]TEMP Summary'!$T$22</f>
        <v>0</v>
      </c>
      <c r="Q42" s="144">
        <f>'[1]TEMP Summary'!$T$22</f>
        <v>0</v>
      </c>
      <c r="R42" s="144">
        <f>'[1]TEMP Summary'!$T$22</f>
        <v>0</v>
      </c>
      <c r="S42" s="144">
        <f>'[1]TEMP Summary'!$T$22</f>
        <v>0</v>
      </c>
      <c r="T42" s="144">
        <f>'[1]TEMP Summary'!$T$22</f>
        <v>0</v>
      </c>
      <c r="U42" s="144">
        <f>'[1]TEMP Summary'!$T$22</f>
        <v>0</v>
      </c>
      <c r="V42" s="144">
        <f>'[1]TEMP Summary'!$T$22</f>
        <v>0</v>
      </c>
      <c r="W42" s="144">
        <f>'[1]TEMP Summary'!$T$22</f>
        <v>0</v>
      </c>
      <c r="X42" s="144">
        <f>'[1]TEMP Summary'!$T$22</f>
        <v>0</v>
      </c>
      <c r="Y42" s="144">
        <f>'[1]TEMP Summary'!$T$22</f>
        <v>0</v>
      </c>
      <c r="Z42" s="144">
        <f>'[1]TEMP Summary'!$T$22</f>
        <v>0</v>
      </c>
      <c r="AA42" s="144">
        <f>'[1]TEMP Summary'!$T$22</f>
        <v>0</v>
      </c>
      <c r="AB42" s="144">
        <f>'[1]TEMP Summary'!$T$22</f>
        <v>0</v>
      </c>
      <c r="AC42" s="144">
        <f>'[1]TEMP Summary'!$T$22</f>
        <v>0</v>
      </c>
      <c r="AD42" s="144">
        <f>'[1]TEMP Summary'!$T$22</f>
        <v>0</v>
      </c>
      <c r="AE42" s="144">
        <f>'[1]TEMP Summary'!$T$22</f>
        <v>0</v>
      </c>
      <c r="AF42" s="144">
        <f>'[1]TEMP Summary'!$T$22</f>
        <v>0</v>
      </c>
      <c r="AG42" s="145">
        <f>'[1]TEMP Summary'!$T$22</f>
        <v>0</v>
      </c>
      <c r="AH42" s="142">
        <f t="shared" si="10"/>
        <v>33</v>
      </c>
      <c r="AJ42" s="257"/>
      <c r="AK42" s="258"/>
    </row>
    <row r="43" spans="1:37" x14ac:dyDescent="0.25">
      <c r="A43" s="168"/>
      <c r="B43" s="143" t="s">
        <v>73</v>
      </c>
      <c r="C43" s="144">
        <f>67-C36</f>
        <v>21</v>
      </c>
      <c r="D43" s="144">
        <f>47-D36</f>
        <v>22</v>
      </c>
      <c r="E43" s="144">
        <f>107-E36</f>
        <v>34</v>
      </c>
      <c r="F43" s="144">
        <f>66-F36</f>
        <v>36</v>
      </c>
      <c r="G43" s="144">
        <f>66-G36</f>
        <v>33</v>
      </c>
      <c r="H43" s="144">
        <f>80-H36</f>
        <v>31</v>
      </c>
      <c r="I43" s="144">
        <f>77-I36</f>
        <v>33</v>
      </c>
      <c r="J43" s="144">
        <f>91-J36</f>
        <v>30</v>
      </c>
      <c r="K43" s="144">
        <f>78-K36</f>
        <v>34</v>
      </c>
      <c r="L43" s="144">
        <f>117-L36</f>
        <v>59</v>
      </c>
      <c r="M43" s="144">
        <f>76-M36</f>
        <v>45</v>
      </c>
      <c r="N43" s="144">
        <f>100-N36</f>
        <v>69</v>
      </c>
      <c r="O43" s="144">
        <f>111-O36</f>
        <v>23</v>
      </c>
      <c r="P43" s="144">
        <f>149-P36</f>
        <v>63</v>
      </c>
      <c r="Q43" s="144">
        <f>131-Q36</f>
        <v>55</v>
      </c>
      <c r="R43" s="144">
        <f>145-R36</f>
        <v>69</v>
      </c>
      <c r="S43" s="144">
        <f>132-S36</f>
        <v>62</v>
      </c>
      <c r="T43" s="144">
        <f>96-T36</f>
        <v>44</v>
      </c>
      <c r="U43" s="144">
        <f>106-U36</f>
        <v>30</v>
      </c>
      <c r="V43" s="144">
        <f>106-V36</f>
        <v>30</v>
      </c>
      <c r="W43" s="144">
        <f>86-W36</f>
        <v>18</v>
      </c>
      <c r="X43" s="144">
        <f>76-X36</f>
        <v>49</v>
      </c>
      <c r="Y43" s="144">
        <f>112-Y36</f>
        <v>40</v>
      </c>
      <c r="Z43" s="144">
        <f>139-Z36</f>
        <v>58</v>
      </c>
      <c r="AA43" s="144">
        <f>71-AA36</f>
        <v>26</v>
      </c>
      <c r="AB43" s="144">
        <f>85-AB36</f>
        <v>36</v>
      </c>
      <c r="AC43" s="144">
        <f>102-AC36</f>
        <v>42</v>
      </c>
      <c r="AD43" s="144">
        <v>140</v>
      </c>
      <c r="AE43" s="144">
        <f>124-AE36-1</f>
        <v>40</v>
      </c>
      <c r="AF43" s="144">
        <f>81-AF36</f>
        <v>21</v>
      </c>
      <c r="AG43" s="145">
        <f>'[1]TEMP Summary'!$T$22</f>
        <v>0</v>
      </c>
      <c r="AH43" s="142">
        <f t="shared" si="10"/>
        <v>1293</v>
      </c>
      <c r="AJ43" s="257"/>
      <c r="AK43" s="258"/>
    </row>
    <row r="44" spans="1:37" x14ac:dyDescent="0.25">
      <c r="A44" s="168"/>
      <c r="B44" s="143" t="s">
        <v>71</v>
      </c>
      <c r="C44" s="144">
        <f>24-C37</f>
        <v>12</v>
      </c>
      <c r="D44" s="144">
        <f>8-D37</f>
        <v>6</v>
      </c>
      <c r="E44" s="144">
        <f>11-E37</f>
        <v>5</v>
      </c>
      <c r="F44" s="144">
        <f>11-F37</f>
        <v>5</v>
      </c>
      <c r="G44" s="144">
        <v>0</v>
      </c>
      <c r="H44" s="144">
        <f>9-H37</f>
        <v>4</v>
      </c>
      <c r="I44" s="144">
        <f>8-I37</f>
        <v>4</v>
      </c>
      <c r="J44" s="144">
        <f>15-J37</f>
        <v>10</v>
      </c>
      <c r="K44" s="144">
        <f>15-K37</f>
        <v>10</v>
      </c>
      <c r="L44" s="144">
        <f>11-L37</f>
        <v>3</v>
      </c>
      <c r="M44" s="144">
        <f>25-M37</f>
        <v>6</v>
      </c>
      <c r="N44" s="144">
        <f>10-N37</f>
        <v>4</v>
      </c>
      <c r="O44" s="144">
        <f>10-O37</f>
        <v>2</v>
      </c>
      <c r="P44" s="144">
        <f>7-P37</f>
        <v>1</v>
      </c>
      <c r="Q44" s="144">
        <f>19-Q37</f>
        <v>6</v>
      </c>
      <c r="R44" s="144">
        <f>15-R37</f>
        <v>9</v>
      </c>
      <c r="S44" s="144">
        <f>23-S37</f>
        <v>17</v>
      </c>
      <c r="T44" s="144">
        <f>16-T37</f>
        <v>9</v>
      </c>
      <c r="U44" s="144">
        <f>24-U37</f>
        <v>5</v>
      </c>
      <c r="V44" s="144">
        <f>11-V37</f>
        <v>2</v>
      </c>
      <c r="W44" s="144">
        <f>13-W37</f>
        <v>5</v>
      </c>
      <c r="X44" s="144">
        <f>15-X37</f>
        <v>9</v>
      </c>
      <c r="Y44" s="144">
        <f>22-Y37</f>
        <v>11</v>
      </c>
      <c r="Z44" s="144">
        <f>13-Z37</f>
        <v>5</v>
      </c>
      <c r="AA44" s="144">
        <f>19-AA37</f>
        <v>3</v>
      </c>
      <c r="AB44" s="144">
        <f>29-AB37</f>
        <v>4</v>
      </c>
      <c r="AC44" s="144">
        <f>14-AC37</f>
        <v>3</v>
      </c>
      <c r="AD44" s="144">
        <v>31</v>
      </c>
      <c r="AE44" s="144">
        <f>16-AE37</f>
        <v>5</v>
      </c>
      <c r="AF44" s="144">
        <f>12-AF37</f>
        <v>11</v>
      </c>
      <c r="AG44" s="145">
        <f>'[1]TEMP Summary'!$T$22</f>
        <v>0</v>
      </c>
      <c r="AH44" s="142">
        <f t="shared" si="10"/>
        <v>207</v>
      </c>
      <c r="AJ44" s="257"/>
      <c r="AK44" s="259"/>
    </row>
    <row r="45" spans="1:37" x14ac:dyDescent="0.25">
      <c r="A45" s="168"/>
      <c r="B45" s="443" t="s">
        <v>186</v>
      </c>
      <c r="C45" s="440">
        <f t="shared" ref="C45:AG45" si="13">SUM(C39:C44)</f>
        <v>133</v>
      </c>
      <c r="D45" s="440">
        <f t="shared" si="13"/>
        <v>153</v>
      </c>
      <c r="E45" s="440">
        <f t="shared" si="13"/>
        <v>419</v>
      </c>
      <c r="F45" s="440">
        <f t="shared" si="13"/>
        <v>465</v>
      </c>
      <c r="G45" s="440">
        <f t="shared" si="13"/>
        <v>206</v>
      </c>
      <c r="H45" s="440">
        <f t="shared" si="13"/>
        <v>142</v>
      </c>
      <c r="I45" s="440">
        <f t="shared" si="13"/>
        <v>144</v>
      </c>
      <c r="J45" s="440">
        <f t="shared" si="13"/>
        <v>150</v>
      </c>
      <c r="K45" s="440">
        <f t="shared" si="13"/>
        <v>158</v>
      </c>
      <c r="L45" s="440">
        <f t="shared" si="13"/>
        <v>224</v>
      </c>
      <c r="M45" s="440">
        <f t="shared" si="13"/>
        <v>182</v>
      </c>
      <c r="N45" s="440">
        <f t="shared" si="13"/>
        <v>219</v>
      </c>
      <c r="O45" s="440">
        <f t="shared" si="13"/>
        <v>124</v>
      </c>
      <c r="P45" s="440">
        <f t="shared" si="13"/>
        <v>202</v>
      </c>
      <c r="Q45" s="440">
        <f t="shared" si="13"/>
        <v>196</v>
      </c>
      <c r="R45" s="440">
        <f t="shared" si="13"/>
        <v>195</v>
      </c>
      <c r="S45" s="440">
        <f t="shared" si="13"/>
        <v>306</v>
      </c>
      <c r="T45" s="440">
        <f t="shared" si="13"/>
        <v>222</v>
      </c>
      <c r="U45" s="440">
        <f t="shared" si="13"/>
        <v>144</v>
      </c>
      <c r="V45" s="440">
        <f t="shared" si="13"/>
        <v>121</v>
      </c>
      <c r="W45" s="440">
        <f t="shared" si="13"/>
        <v>84</v>
      </c>
      <c r="X45" s="440">
        <f t="shared" si="13"/>
        <v>159</v>
      </c>
      <c r="Y45" s="440">
        <f t="shared" si="13"/>
        <v>168</v>
      </c>
      <c r="Z45" s="440">
        <f t="shared" si="13"/>
        <v>214</v>
      </c>
      <c r="AA45" s="440">
        <f t="shared" si="13"/>
        <v>188</v>
      </c>
      <c r="AB45" s="440">
        <f t="shared" si="13"/>
        <v>162</v>
      </c>
      <c r="AC45" s="440">
        <f t="shared" si="13"/>
        <v>171</v>
      </c>
      <c r="AD45" s="440">
        <f t="shared" si="13"/>
        <v>390</v>
      </c>
      <c r="AE45" s="440">
        <f t="shared" si="13"/>
        <v>140</v>
      </c>
      <c r="AF45" s="440">
        <f t="shared" si="13"/>
        <v>134</v>
      </c>
      <c r="AG45" s="442">
        <f t="shared" si="13"/>
        <v>0</v>
      </c>
      <c r="AH45" s="406">
        <f>SUM(C45:AG45)</f>
        <v>5915</v>
      </c>
      <c r="AJ45" s="405"/>
      <c r="AK45" s="404"/>
    </row>
    <row r="46" spans="1:37" s="170" customFormat="1" ht="15.75" thickBot="1" x14ac:dyDescent="0.3">
      <c r="A46" s="169"/>
      <c r="B46" s="146" t="s">
        <v>76</v>
      </c>
      <c r="C46" s="147">
        <f t="shared" ref="C46:AG46" si="14">SUM(C32:C37,C39:C44)</f>
        <v>306</v>
      </c>
      <c r="D46" s="147">
        <f t="shared" si="14"/>
        <v>325</v>
      </c>
      <c r="E46" s="147">
        <f t="shared" si="14"/>
        <v>960</v>
      </c>
      <c r="F46" s="147">
        <f t="shared" si="14"/>
        <v>1018</v>
      </c>
      <c r="G46" s="147">
        <f t="shared" si="14"/>
        <v>603</v>
      </c>
      <c r="H46" s="147">
        <f t="shared" si="14"/>
        <v>328</v>
      </c>
      <c r="I46" s="147">
        <f t="shared" si="14"/>
        <v>314</v>
      </c>
      <c r="J46" s="147">
        <f t="shared" si="14"/>
        <v>305</v>
      </c>
      <c r="K46" s="147">
        <f t="shared" si="14"/>
        <v>297</v>
      </c>
      <c r="L46" s="147">
        <f t="shared" si="14"/>
        <v>493</v>
      </c>
      <c r="M46" s="147">
        <f t="shared" si="14"/>
        <v>458</v>
      </c>
      <c r="N46" s="147">
        <f t="shared" si="14"/>
        <v>335</v>
      </c>
      <c r="O46" s="147">
        <f t="shared" si="14"/>
        <v>337</v>
      </c>
      <c r="P46" s="147">
        <f t="shared" si="14"/>
        <v>430</v>
      </c>
      <c r="Q46" s="147">
        <f t="shared" si="14"/>
        <v>420</v>
      </c>
      <c r="R46" s="147">
        <f t="shared" si="14"/>
        <v>438</v>
      </c>
      <c r="S46" s="147">
        <f t="shared" si="14"/>
        <v>562</v>
      </c>
      <c r="T46" s="147">
        <f t="shared" si="14"/>
        <v>466</v>
      </c>
      <c r="U46" s="147">
        <f t="shared" si="14"/>
        <v>396</v>
      </c>
      <c r="V46" s="147">
        <f t="shared" si="14"/>
        <v>361</v>
      </c>
      <c r="W46" s="147">
        <f t="shared" si="14"/>
        <v>263</v>
      </c>
      <c r="X46" s="147">
        <f t="shared" si="14"/>
        <v>276</v>
      </c>
      <c r="Y46" s="147">
        <f t="shared" si="14"/>
        <v>365</v>
      </c>
      <c r="Z46" s="147">
        <f t="shared" si="14"/>
        <v>578</v>
      </c>
      <c r="AA46" s="147">
        <f t="shared" si="14"/>
        <v>439</v>
      </c>
      <c r="AB46" s="147">
        <f t="shared" si="14"/>
        <v>428</v>
      </c>
      <c r="AC46" s="147">
        <f t="shared" si="14"/>
        <v>356</v>
      </c>
      <c r="AD46" s="147">
        <f t="shared" si="14"/>
        <v>616</v>
      </c>
      <c r="AE46" s="147">
        <f t="shared" si="14"/>
        <v>375</v>
      </c>
      <c r="AF46" s="147">
        <f t="shared" si="14"/>
        <v>359</v>
      </c>
      <c r="AG46" s="262">
        <f t="shared" si="14"/>
        <v>0</v>
      </c>
      <c r="AH46" s="148">
        <f>SUM(AH32:AH37,AH39:AH44)</f>
        <v>13207</v>
      </c>
      <c r="AJ46" s="260">
        <f>AH46</f>
        <v>13207</v>
      </c>
      <c r="AK46" s="261" t="s">
        <v>76</v>
      </c>
    </row>
  </sheetData>
  <sheetProtection formatCells="0" formatColumns="0" formatRows="0" insertColumns="0" insertRows="0" insertHyperlinks="0" deleteColumns="0" deleteRows="0" sort="0" autoFilter="0" pivotTables="0"/>
  <mergeCells count="4">
    <mergeCell ref="AJ31:AK31"/>
    <mergeCell ref="AJ17:AM17"/>
    <mergeCell ref="AJ25:AK25"/>
    <mergeCell ref="AL25:AM25"/>
  </mergeCells>
  <conditionalFormatting sqref="C26:AG28 AG29">
    <cfRule type="cellIs" dxfId="1" priority="1" operator="notEqual">
      <formula>0</formula>
    </cfRule>
  </conditionalFormatting>
  <conditionalFormatting sqref="C26:AG28 AG29">
    <cfRule type="cellIs" dxfId="0" priority="2" operator="notEqual">
      <formula>0</formula>
    </cfRule>
  </conditionalFormatting>
  <pageMargins left="0.25" right="0.25" top="0.75" bottom="0.75" header="0.3" footer="0.3"/>
  <pageSetup paperSize="17" scale="63" fitToHeight="4" orientation="landscape" verticalDpi="300" r:id="rId1"/>
  <headerFooter>
    <oddFooter>&amp;L&amp;8&amp;Z&amp;F&amp;R&amp;8&amp;A</oddFooter>
  </headerFooter>
  <ignoredErrors>
    <ignoredError sqref="C38 D38:AG38" formula="1"/>
  </ignoredErrors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activeCell="H25" sqref="H25"/>
    </sheetView>
  </sheetViews>
  <sheetFormatPr defaultColWidth="9.140625" defaultRowHeight="15" x14ac:dyDescent="0.25"/>
  <cols>
    <col min="1" max="1" width="13.42578125" style="59" bestFit="1" customWidth="1"/>
    <col min="2" max="2" width="31.8554687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220</v>
      </c>
      <c r="B1" s="254" t="str">
        <f>CONCATENATE('Cash Flow'!C1, " ",'Cash Flow'!D1)</f>
        <v>September 2022</v>
      </c>
    </row>
    <row r="2" spans="1:5" ht="15.75" thickBot="1" x14ac:dyDescent="0.3"/>
    <row r="3" spans="1:5" x14ac:dyDescent="0.25">
      <c r="A3" s="250" t="s">
        <v>61</v>
      </c>
      <c r="B3" s="251" t="s">
        <v>228</v>
      </c>
      <c r="C3" s="128">
        <f>'Visitor Center'!AH3</f>
        <v>235.6</v>
      </c>
      <c r="D3" s="116"/>
    </row>
    <row r="4" spans="1:5" x14ac:dyDescent="0.25">
      <c r="A4" s="252" t="s">
        <v>221</v>
      </c>
      <c r="B4" s="253" t="s">
        <v>222</v>
      </c>
      <c r="C4" s="131">
        <f>'Visitor Center'!AH4</f>
        <v>2491.6599999999994</v>
      </c>
      <c r="D4" s="116"/>
    </row>
    <row r="5" spans="1:5" x14ac:dyDescent="0.25">
      <c r="A5" s="252"/>
      <c r="B5" s="253"/>
      <c r="C5" s="131"/>
      <c r="D5" s="116"/>
    </row>
    <row r="6" spans="1:5" x14ac:dyDescent="0.25">
      <c r="A6" s="252" t="s">
        <v>225</v>
      </c>
      <c r="B6" s="130" t="s">
        <v>226</v>
      </c>
      <c r="C6" s="131">
        <f>-'Visitor Center'!AL11</f>
        <v>-21.89</v>
      </c>
      <c r="D6" s="116"/>
    </row>
    <row r="7" spans="1:5" ht="15.75" thickBot="1" x14ac:dyDescent="0.3">
      <c r="A7" s="182"/>
      <c r="B7" s="183"/>
      <c r="C7" s="184"/>
      <c r="D7" s="254"/>
      <c r="E7" s="170"/>
    </row>
    <row r="8" spans="1:5" x14ac:dyDescent="0.25">
      <c r="A8" s="116"/>
      <c r="B8" s="248" t="s">
        <v>64</v>
      </c>
      <c r="C8" s="206"/>
      <c r="D8" s="249">
        <f>SUM(C3:C6)</f>
        <v>2705.3699999999994</v>
      </c>
    </row>
    <row r="9" spans="1:5" ht="15.75" thickBot="1" x14ac:dyDescent="0.3">
      <c r="C9" s="156"/>
    </row>
    <row r="10" spans="1:5" x14ac:dyDescent="0.25">
      <c r="A10" s="126" t="s">
        <v>60</v>
      </c>
      <c r="B10" s="127" t="s">
        <v>229</v>
      </c>
      <c r="C10" s="128">
        <f>'Visitor Center'!AL7</f>
        <v>600.27</v>
      </c>
    </row>
    <row r="11" spans="1:5" x14ac:dyDescent="0.25">
      <c r="A11" s="129" t="s">
        <v>60</v>
      </c>
      <c r="B11" s="130" t="s">
        <v>230</v>
      </c>
      <c r="C11" s="131">
        <f>'Visitor Center'!AM7</f>
        <v>53.61</v>
      </c>
    </row>
    <row r="12" spans="1:5" x14ac:dyDescent="0.25">
      <c r="A12" s="129" t="s">
        <v>60</v>
      </c>
      <c r="B12" s="130" t="s">
        <v>231</v>
      </c>
      <c r="C12" s="131">
        <f>'Visitor Center'!AL8</f>
        <v>1651.2600000000002</v>
      </c>
      <c r="E12" s="255">
        <f>D8-D17</f>
        <v>0</v>
      </c>
    </row>
    <row r="13" spans="1:5" x14ac:dyDescent="0.25">
      <c r="A13" s="129" t="s">
        <v>60</v>
      </c>
      <c r="B13" s="130" t="s">
        <v>232</v>
      </c>
      <c r="C13" s="131">
        <f>'Visitor Center'!AM8</f>
        <v>338.64</v>
      </c>
    </row>
    <row r="14" spans="1:5" x14ac:dyDescent="0.25">
      <c r="A14" s="129" t="s">
        <v>227</v>
      </c>
      <c r="B14" s="130" t="s">
        <v>233</v>
      </c>
      <c r="C14" s="131">
        <f>'Visitor Center'!AL13</f>
        <v>51.12</v>
      </c>
    </row>
    <row r="15" spans="1:5" x14ac:dyDescent="0.25">
      <c r="A15" s="129" t="s">
        <v>227</v>
      </c>
      <c r="B15" s="130" t="s">
        <v>234</v>
      </c>
      <c r="C15" s="131">
        <f>'Visitor Center'!AM13</f>
        <v>10.469999999999999</v>
      </c>
    </row>
    <row r="16" spans="1:5" ht="15.75" thickBot="1" x14ac:dyDescent="0.3">
      <c r="A16" s="182"/>
      <c r="B16" s="183"/>
      <c r="C16" s="184"/>
      <c r="D16" s="170"/>
    </row>
    <row r="17" spans="2:4" x14ac:dyDescent="0.25">
      <c r="B17" s="248" t="s">
        <v>65</v>
      </c>
      <c r="C17" s="206"/>
      <c r="D17" s="249">
        <f>SUM(C10:C15)</f>
        <v>2705.37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workbookViewId="0">
      <selection activeCell="E25" sqref="E25"/>
    </sheetView>
  </sheetViews>
  <sheetFormatPr defaultColWidth="9.140625" defaultRowHeight="15" x14ac:dyDescent="0.25"/>
  <cols>
    <col min="1" max="1" width="11.28515625" style="59" customWidth="1"/>
    <col min="2" max="2" width="29.28515625" style="59" bestFit="1" customWidth="1"/>
    <col min="3" max="3" width="21.7109375" style="59" customWidth="1"/>
    <col min="4" max="4" width="11.140625" style="59" bestFit="1" customWidth="1"/>
    <col min="5" max="5" width="11.28515625" style="59" bestFit="1" customWidth="1"/>
    <col min="6" max="16384" width="9.140625" style="59"/>
  </cols>
  <sheetData>
    <row r="1" spans="1:5" x14ac:dyDescent="0.25">
      <c r="A1" s="256" t="s">
        <v>118</v>
      </c>
      <c r="B1" s="254" t="str">
        <f>CONCATENATE('Cash Flow'!C1, "  ",'Cash Flow'!D1)</f>
        <v>September  2022</v>
      </c>
    </row>
    <row r="2" spans="1:5" ht="15.75" thickBot="1" x14ac:dyDescent="0.3"/>
    <row r="3" spans="1:5" x14ac:dyDescent="0.25">
      <c r="A3" s="250" t="s">
        <v>61</v>
      </c>
      <c r="B3" s="251" t="s">
        <v>101</v>
      </c>
      <c r="C3" s="128">
        <f>'Box Canon'!AH3+'Box Canon'!AH9</f>
        <v>728.37000000000012</v>
      </c>
      <c r="D3" s="116"/>
    </row>
    <row r="4" spans="1:5" x14ac:dyDescent="0.25">
      <c r="A4" s="252" t="s">
        <v>69</v>
      </c>
      <c r="B4" s="253" t="s">
        <v>70</v>
      </c>
      <c r="C4" s="131">
        <f>'Box Canon'!AH4+'Box Canon'!AH10</f>
        <v>56163</v>
      </c>
      <c r="D4" s="116"/>
    </row>
    <row r="5" spans="1:5" x14ac:dyDescent="0.25">
      <c r="A5" s="252" t="s">
        <v>80</v>
      </c>
      <c r="B5" s="253" t="s">
        <v>102</v>
      </c>
      <c r="C5" s="131">
        <f>'Box Canon'!AH5+'Box Canon'!AH11</f>
        <v>485.24</v>
      </c>
      <c r="D5" s="116"/>
    </row>
    <row r="6" spans="1:5" x14ac:dyDescent="0.25">
      <c r="A6" s="252" t="s">
        <v>79</v>
      </c>
      <c r="B6" s="253" t="s">
        <v>103</v>
      </c>
      <c r="C6" s="131">
        <f>'Box Canon'!AH6+'Box Canon'!AH12</f>
        <v>7683.01</v>
      </c>
      <c r="D6" s="116"/>
    </row>
    <row r="7" spans="1:5" x14ac:dyDescent="0.25">
      <c r="A7" s="252" t="s">
        <v>79</v>
      </c>
      <c r="B7" s="253" t="s">
        <v>81</v>
      </c>
      <c r="C7" s="131">
        <f>'Box Canon'!AH7+'Box Canon'!AH13</f>
        <v>38.28</v>
      </c>
      <c r="D7" s="116"/>
    </row>
    <row r="8" spans="1:5" x14ac:dyDescent="0.25">
      <c r="A8" s="252"/>
      <c r="B8" s="253"/>
      <c r="C8" s="131"/>
      <c r="D8" s="116"/>
    </row>
    <row r="9" spans="1:5" x14ac:dyDescent="0.25">
      <c r="A9" s="129" t="s">
        <v>84</v>
      </c>
      <c r="B9" s="130" t="s">
        <v>97</v>
      </c>
      <c r="C9" s="131">
        <f>-('Box Canon'!AH26+'Box Canon'!AH27)</f>
        <v>-220.5500000000003</v>
      </c>
      <c r="D9" s="116"/>
    </row>
    <row r="10" spans="1:5" ht="15.75" thickBot="1" x14ac:dyDescent="0.3">
      <c r="A10" s="182"/>
      <c r="B10" s="183"/>
      <c r="C10" s="184"/>
      <c r="D10" s="254"/>
      <c r="E10" s="170"/>
    </row>
    <row r="11" spans="1:5" x14ac:dyDescent="0.25">
      <c r="A11" s="116"/>
      <c r="B11" s="248" t="s">
        <v>64</v>
      </c>
      <c r="C11" s="206"/>
      <c r="D11" s="249">
        <f>SUM(C3:C9)</f>
        <v>64877.35</v>
      </c>
    </row>
    <row r="12" spans="1:5" ht="15.75" thickBot="1" x14ac:dyDescent="0.3">
      <c r="C12" s="156"/>
    </row>
    <row r="13" spans="1:5" x14ac:dyDescent="0.25">
      <c r="A13" s="126" t="s">
        <v>60</v>
      </c>
      <c r="B13" s="127" t="s">
        <v>93</v>
      </c>
      <c r="C13" s="128">
        <f>'Box Canon'!AL20</f>
        <v>31496.81</v>
      </c>
    </row>
    <row r="14" spans="1:5" x14ac:dyDescent="0.25">
      <c r="A14" s="129" t="s">
        <v>60</v>
      </c>
      <c r="B14" s="130" t="s">
        <v>95</v>
      </c>
      <c r="C14" s="131">
        <f>'Box Canon'!AM20</f>
        <v>1052.4000000000001</v>
      </c>
    </row>
    <row r="15" spans="1:5" x14ac:dyDescent="0.25">
      <c r="A15" s="129" t="s">
        <v>60</v>
      </c>
      <c r="B15" s="130" t="s">
        <v>94</v>
      </c>
      <c r="C15" s="131">
        <f>'Box Canon'!AL21</f>
        <v>27027.45</v>
      </c>
      <c r="E15" s="255">
        <f>D11-D22</f>
        <v>0</v>
      </c>
    </row>
    <row r="16" spans="1:5" x14ac:dyDescent="0.25">
      <c r="A16" s="129" t="s">
        <v>60</v>
      </c>
      <c r="B16" s="130" t="s">
        <v>96</v>
      </c>
      <c r="C16" s="131">
        <f>'Box Canon'!AM21</f>
        <v>4322.32</v>
      </c>
    </row>
    <row r="17" spans="1:4" x14ac:dyDescent="0.25">
      <c r="A17" s="129" t="s">
        <v>60</v>
      </c>
      <c r="B17" s="130" t="s">
        <v>218</v>
      </c>
      <c r="C17" s="131">
        <f>'Box Canon'!AL22</f>
        <v>9</v>
      </c>
    </row>
    <row r="18" spans="1:4" x14ac:dyDescent="0.25">
      <c r="A18" s="129" t="s">
        <v>60</v>
      </c>
      <c r="B18" s="130" t="s">
        <v>219</v>
      </c>
      <c r="C18" s="131">
        <f>'Box Canon'!AM22</f>
        <v>0</v>
      </c>
    </row>
    <row r="19" spans="1:4" x14ac:dyDescent="0.25">
      <c r="A19" s="129" t="s">
        <v>212</v>
      </c>
      <c r="B19" s="130" t="s">
        <v>213</v>
      </c>
      <c r="C19" s="131">
        <f>'Box Canon'!AL29</f>
        <v>835.73</v>
      </c>
    </row>
    <row r="20" spans="1:4" x14ac:dyDescent="0.25">
      <c r="A20" s="129" t="s">
        <v>212</v>
      </c>
      <c r="B20" s="130" t="s">
        <v>214</v>
      </c>
      <c r="C20" s="131">
        <f>'Box Canon'!AM29</f>
        <v>133.64000000000001</v>
      </c>
    </row>
    <row r="21" spans="1:4" ht="15.75" thickBot="1" x14ac:dyDescent="0.3">
      <c r="A21" s="182"/>
      <c r="B21" s="183"/>
      <c r="C21" s="184"/>
      <c r="D21" s="170"/>
    </row>
    <row r="22" spans="1:4" x14ac:dyDescent="0.25">
      <c r="B22" s="248" t="s">
        <v>65</v>
      </c>
      <c r="C22" s="206"/>
      <c r="D22" s="249">
        <f>SUM(C13:C20)</f>
        <v>64877.350000000006</v>
      </c>
    </row>
    <row r="23" spans="1:4" ht="15.75" thickBot="1" x14ac:dyDescent="0.3"/>
    <row r="24" spans="1:4" x14ac:dyDescent="0.25">
      <c r="B24" s="514" t="s">
        <v>57</v>
      </c>
      <c r="C24" s="515"/>
    </row>
    <row r="25" spans="1:4" x14ac:dyDescent="0.25">
      <c r="B25" s="143" t="s">
        <v>75</v>
      </c>
      <c r="C25" s="145">
        <f>'Box Canon'!AJ32</f>
        <v>8304</v>
      </c>
    </row>
    <row r="26" spans="1:4" x14ac:dyDescent="0.25">
      <c r="B26" s="143" t="s">
        <v>74</v>
      </c>
      <c r="C26" s="145">
        <f>'Box Canon'!AJ33</f>
        <v>1089</v>
      </c>
    </row>
    <row r="27" spans="1:4" x14ac:dyDescent="0.25">
      <c r="B27" s="143" t="s">
        <v>208</v>
      </c>
      <c r="C27" s="145">
        <f>'Box Canon'!AJ34</f>
        <v>232</v>
      </c>
    </row>
    <row r="28" spans="1:4" x14ac:dyDescent="0.25">
      <c r="B28" s="143" t="s">
        <v>72</v>
      </c>
      <c r="C28" s="145">
        <f>'Box Canon'!AJ35</f>
        <v>45</v>
      </c>
    </row>
    <row r="29" spans="1:4" x14ac:dyDescent="0.25">
      <c r="B29" s="143" t="s">
        <v>73</v>
      </c>
      <c r="C29" s="145">
        <f>'Box Canon'!AJ36</f>
        <v>3044</v>
      </c>
    </row>
    <row r="30" spans="1:4" x14ac:dyDescent="0.25">
      <c r="B30" s="143" t="s">
        <v>71</v>
      </c>
      <c r="C30" s="145">
        <f>'Box Canon'!AJ37</f>
        <v>493</v>
      </c>
    </row>
    <row r="31" spans="1:4" x14ac:dyDescent="0.25">
      <c r="B31" s="129"/>
      <c r="C31" s="245"/>
    </row>
    <row r="32" spans="1:4" ht="15.75" thickBot="1" x14ac:dyDescent="0.3">
      <c r="B32" s="246" t="s">
        <v>76</v>
      </c>
      <c r="C32" s="247">
        <f>SUM(C25:C30)</f>
        <v>13207</v>
      </c>
    </row>
  </sheetData>
  <sheetProtection algorithmName="SHA-512" hashValue="/2P6A7UXi/14nEZ3Hr93jSJkrajzqOY659olvJrfYQi83ZJc8Gdn6mWThlr8xPL+BVO6G09nRwVG2YyNJ9wLPw==" saltValue="FdsKLjQlxTnziID3F8jSuw==" spinCount="100000" sheet="1" formatCells="0" formatColumns="0" formatRows="0" insertColumns="0" insertRows="0" insertHyperlinks="0" deleteColumns="0" deleteRows="0" sort="0" autoFilter="0" pivotTables="0"/>
  <mergeCells count="1">
    <mergeCell ref="B24:C2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62"/>
  <sheetViews>
    <sheetView workbookViewId="0">
      <selection activeCell="D8" sqref="D8:F8"/>
    </sheetView>
  </sheetViews>
  <sheetFormatPr defaultColWidth="9.140625" defaultRowHeight="15" x14ac:dyDescent="0.25"/>
  <cols>
    <col min="1" max="1" width="10.42578125" style="59" bestFit="1" customWidth="1"/>
    <col min="2" max="2" width="35.140625" style="59" customWidth="1"/>
    <col min="3" max="3" width="17.85546875" style="156" customWidth="1"/>
    <col min="4" max="4" width="11" style="59" customWidth="1"/>
    <col min="5" max="5" width="12.28515625" style="59" bestFit="1" customWidth="1"/>
    <col min="6" max="6" width="16" style="59" customWidth="1"/>
    <col min="7" max="16384" width="9.140625" style="59"/>
  </cols>
  <sheetData>
    <row r="1" spans="1:6" s="181" customFormat="1" ht="13.5" customHeight="1" x14ac:dyDescent="0.25">
      <c r="A1" s="235" t="s">
        <v>117</v>
      </c>
      <c r="B1" s="179" t="str">
        <f>CONCATENATE('Cash Flow'!C1, "  ",'Cash Flow'!D1)</f>
        <v>September  2022</v>
      </c>
      <c r="C1" s="180"/>
    </row>
    <row r="2" spans="1:6" s="181" customFormat="1" ht="5.0999999999999996" customHeight="1" thickBot="1" x14ac:dyDescent="0.3">
      <c r="A2" s="235"/>
      <c r="B2" s="179"/>
      <c r="C2" s="180"/>
    </row>
    <row r="3" spans="1:6" s="181" customFormat="1" ht="14.1" customHeight="1" thickBot="1" x14ac:dyDescent="0.3">
      <c r="A3" s="522" t="s">
        <v>185</v>
      </c>
      <c r="B3" s="523"/>
      <c r="C3" s="524"/>
    </row>
    <row r="4" spans="1:6" s="181" customFormat="1" ht="24" customHeight="1" x14ac:dyDescent="0.25">
      <c r="A4" s="89" t="s">
        <v>30</v>
      </c>
      <c r="B4" s="84" t="s">
        <v>31</v>
      </c>
      <c r="C4" s="186">
        <f>Pool!AH4</f>
        <v>183922.4</v>
      </c>
      <c r="D4" s="516" t="s">
        <v>176</v>
      </c>
      <c r="E4" s="517"/>
      <c r="F4" s="517"/>
    </row>
    <row r="5" spans="1:6" ht="14.1" customHeight="1" x14ac:dyDescent="0.25">
      <c r="A5" s="90" t="s">
        <v>177</v>
      </c>
      <c r="B5" s="91" t="s">
        <v>63</v>
      </c>
      <c r="C5" s="187">
        <f>Pool!AH5</f>
        <v>1805.3999999999999</v>
      </c>
      <c r="D5" s="520"/>
      <c r="E5" s="521"/>
      <c r="F5" s="521"/>
    </row>
    <row r="6" spans="1:6" ht="14.1" customHeight="1" x14ac:dyDescent="0.25">
      <c r="A6" s="90" t="s">
        <v>155</v>
      </c>
      <c r="B6" s="91" t="s">
        <v>196</v>
      </c>
      <c r="C6" s="187">
        <f>Pool!AH7+Pool!AH8</f>
        <v>33958.5</v>
      </c>
      <c r="D6" s="518" t="s">
        <v>198</v>
      </c>
      <c r="E6" s="519"/>
      <c r="F6" s="519"/>
    </row>
    <row r="7" spans="1:6" ht="14.1" customHeight="1" x14ac:dyDescent="0.25">
      <c r="A7" s="90" t="s">
        <v>160</v>
      </c>
      <c r="B7" s="91" t="s">
        <v>161</v>
      </c>
      <c r="C7" s="187">
        <f>Pool!AH9</f>
        <v>180</v>
      </c>
      <c r="D7" s="520"/>
      <c r="E7" s="521"/>
      <c r="F7" s="521"/>
    </row>
    <row r="8" spans="1:6" ht="14.1" customHeight="1" x14ac:dyDescent="0.25">
      <c r="A8" s="90" t="s">
        <v>162</v>
      </c>
      <c r="B8" s="91" t="s">
        <v>171</v>
      </c>
      <c r="C8" s="187">
        <f>Pool!AH10</f>
        <v>0</v>
      </c>
      <c r="D8" s="520"/>
      <c r="E8" s="521"/>
      <c r="F8" s="521"/>
    </row>
    <row r="9" spans="1:6" ht="14.1" customHeight="1" x14ac:dyDescent="0.25">
      <c r="A9" s="90" t="s">
        <v>34</v>
      </c>
      <c r="B9" s="91" t="s">
        <v>35</v>
      </c>
      <c r="C9" s="187">
        <f>Pool!AH14</f>
        <v>1865</v>
      </c>
      <c r="D9" s="520"/>
      <c r="E9" s="521"/>
      <c r="F9" s="521"/>
    </row>
    <row r="10" spans="1:6" ht="14.1" customHeight="1" x14ac:dyDescent="0.25">
      <c r="A10" s="90" t="s">
        <v>36</v>
      </c>
      <c r="B10" s="91" t="s">
        <v>37</v>
      </c>
      <c r="C10" s="187">
        <f>Pool!AH15</f>
        <v>13852.590000000002</v>
      </c>
      <c r="D10" s="520"/>
      <c r="E10" s="521"/>
      <c r="F10" s="521"/>
    </row>
    <row r="11" spans="1:6" ht="14.1" customHeight="1" x14ac:dyDescent="0.25">
      <c r="A11" s="90" t="s">
        <v>201</v>
      </c>
      <c r="B11" s="91" t="s">
        <v>112</v>
      </c>
      <c r="C11" s="187">
        <f>Pool!AH16</f>
        <v>0</v>
      </c>
      <c r="D11" s="520"/>
      <c r="E11" s="521"/>
      <c r="F11" s="521"/>
    </row>
    <row r="12" spans="1:6" ht="14.1" customHeight="1" x14ac:dyDescent="0.25">
      <c r="A12" s="90" t="s">
        <v>77</v>
      </c>
      <c r="B12" s="91" t="s">
        <v>197</v>
      </c>
      <c r="C12" s="187">
        <f>Pool!AH17</f>
        <v>2108.5</v>
      </c>
      <c r="D12" s="520" t="s">
        <v>199</v>
      </c>
      <c r="E12" s="521"/>
      <c r="F12" s="521"/>
    </row>
    <row r="13" spans="1:6" ht="14.1" hidden="1" customHeight="1" x14ac:dyDescent="0.25">
      <c r="A13" s="90" t="s">
        <v>38</v>
      </c>
      <c r="B13" s="91" t="s">
        <v>39</v>
      </c>
      <c r="C13" s="187">
        <f>Pool!AH18</f>
        <v>0</v>
      </c>
      <c r="D13" s="520"/>
      <c r="E13" s="521"/>
      <c r="F13" s="521"/>
    </row>
    <row r="14" spans="1:6" ht="14.1" customHeight="1" x14ac:dyDescent="0.25">
      <c r="A14" s="90" t="s">
        <v>40</v>
      </c>
      <c r="B14" s="91" t="s">
        <v>41</v>
      </c>
      <c r="C14" s="187">
        <f>Pool!AH20</f>
        <v>0</v>
      </c>
      <c r="D14" s="520"/>
      <c r="E14" s="521"/>
      <c r="F14" s="521"/>
    </row>
    <row r="15" spans="1:6" ht="14.1" customHeight="1" thickBot="1" x14ac:dyDescent="0.3">
      <c r="A15" s="81" t="s">
        <v>164</v>
      </c>
      <c r="B15" s="94" t="s">
        <v>165</v>
      </c>
      <c r="C15" s="188">
        <f>Pool!AH19</f>
        <v>-45</v>
      </c>
      <c r="D15" s="520"/>
      <c r="E15" s="521"/>
      <c r="F15" s="521"/>
    </row>
    <row r="16" spans="1:6" ht="14.1" hidden="1" customHeight="1" x14ac:dyDescent="0.25">
      <c r="A16" s="471" t="s">
        <v>42</v>
      </c>
      <c r="B16" s="472" t="s">
        <v>43</v>
      </c>
      <c r="C16" s="473">
        <f>Pool!AH21</f>
        <v>0</v>
      </c>
      <c r="D16" s="520"/>
      <c r="E16" s="521"/>
      <c r="F16" s="521"/>
    </row>
    <row r="17" spans="1:7" ht="14.1" hidden="1" customHeight="1" x14ac:dyDescent="0.25">
      <c r="A17" s="90" t="s">
        <v>44</v>
      </c>
      <c r="B17" s="91" t="s">
        <v>45</v>
      </c>
      <c r="C17" s="187">
        <f>Pool!AH22</f>
        <v>0</v>
      </c>
      <c r="D17" s="520"/>
      <c r="E17" s="521"/>
      <c r="F17" s="521"/>
    </row>
    <row r="18" spans="1:7" ht="14.1" hidden="1" customHeight="1" x14ac:dyDescent="0.25">
      <c r="A18" s="90" t="s">
        <v>46</v>
      </c>
      <c r="B18" s="91" t="s">
        <v>47</v>
      </c>
      <c r="C18" s="187">
        <f>Pool!AH23</f>
        <v>0</v>
      </c>
      <c r="D18" s="520"/>
      <c r="E18" s="521"/>
      <c r="F18" s="521"/>
    </row>
    <row r="19" spans="1:7" ht="14.1" hidden="1" customHeight="1" x14ac:dyDescent="0.25">
      <c r="A19" s="90" t="s">
        <v>48</v>
      </c>
      <c r="B19" s="91" t="s">
        <v>49</v>
      </c>
      <c r="C19" s="187">
        <f>Pool!AH24</f>
        <v>0</v>
      </c>
      <c r="D19" s="520"/>
      <c r="E19" s="521"/>
      <c r="F19" s="521"/>
    </row>
    <row r="20" spans="1:7" ht="14.1" hidden="1" customHeight="1" x14ac:dyDescent="0.25">
      <c r="A20" s="90" t="s">
        <v>50</v>
      </c>
      <c r="B20" s="91" t="s">
        <v>51</v>
      </c>
      <c r="C20" s="187">
        <f>Pool!AH25</f>
        <v>0</v>
      </c>
      <c r="D20" s="520"/>
      <c r="E20" s="521"/>
      <c r="F20" s="521"/>
    </row>
    <row r="21" spans="1:7" ht="14.1" hidden="1" customHeight="1" thickBot="1" x14ac:dyDescent="0.3">
      <c r="A21" s="81" t="s">
        <v>52</v>
      </c>
      <c r="B21" s="94" t="s">
        <v>53</v>
      </c>
      <c r="C21" s="188">
        <f>Pool!AH26</f>
        <v>0</v>
      </c>
      <c r="D21" s="520"/>
      <c r="E21" s="521"/>
      <c r="F21" s="521"/>
    </row>
    <row r="22" spans="1:7" ht="14.1" customHeight="1" x14ac:dyDescent="0.25">
      <c r="A22" s="189"/>
      <c r="B22" s="207" t="s">
        <v>64</v>
      </c>
      <c r="C22" s="474">
        <f>C4+C5+C6+C7+C8+C9+C10+C11+C12+C15</f>
        <v>237647.38999999998</v>
      </c>
      <c r="D22" s="521" t="s">
        <v>174</v>
      </c>
      <c r="E22" s="521"/>
      <c r="F22" s="521"/>
    </row>
    <row r="23" spans="1:7" ht="5.0999999999999996" customHeight="1" thickBot="1" x14ac:dyDescent="0.3">
      <c r="A23" s="116"/>
      <c r="B23" s="116"/>
      <c r="C23" s="116"/>
      <c r="F23" s="210"/>
      <c r="G23" s="210"/>
    </row>
    <row r="24" spans="1:7" ht="14.1" customHeight="1" thickBot="1" x14ac:dyDescent="0.3">
      <c r="A24" s="522" t="s">
        <v>178</v>
      </c>
      <c r="B24" s="523"/>
      <c r="C24" s="524"/>
    </row>
    <row r="25" spans="1:7" ht="14.1" customHeight="1" x14ac:dyDescent="0.25">
      <c r="A25" s="126" t="s">
        <v>61</v>
      </c>
      <c r="B25" s="393" t="s">
        <v>62</v>
      </c>
      <c r="C25" s="394">
        <f>Pool!AH3</f>
        <v>1352.3799999999999</v>
      </c>
      <c r="D25" s="520"/>
      <c r="E25" s="521"/>
      <c r="F25" s="521"/>
    </row>
    <row r="26" spans="1:7" ht="14.1" hidden="1" customHeight="1" x14ac:dyDescent="0.25">
      <c r="A26" s="129" t="s">
        <v>156</v>
      </c>
      <c r="B26" s="395" t="s">
        <v>157</v>
      </c>
      <c r="C26" s="397">
        <f>Pool!AH11</f>
        <v>0</v>
      </c>
      <c r="D26" s="520" t="s">
        <v>183</v>
      </c>
      <c r="E26" s="521"/>
      <c r="F26" s="521"/>
    </row>
    <row r="27" spans="1:7" ht="14.1" hidden="1" customHeight="1" x14ac:dyDescent="0.25">
      <c r="A27" s="129" t="s">
        <v>167</v>
      </c>
      <c r="B27" s="395" t="s">
        <v>168</v>
      </c>
      <c r="C27" s="397">
        <f>Pool!AH12</f>
        <v>0</v>
      </c>
      <c r="D27" s="520" t="s">
        <v>172</v>
      </c>
      <c r="E27" s="521"/>
      <c r="F27" s="521"/>
    </row>
    <row r="28" spans="1:7" ht="14.1" hidden="1" customHeight="1" x14ac:dyDescent="0.25">
      <c r="A28" s="129" t="s">
        <v>169</v>
      </c>
      <c r="B28" s="395" t="s">
        <v>170</v>
      </c>
      <c r="C28" s="397">
        <f>Pool!AH13</f>
        <v>0</v>
      </c>
      <c r="D28" s="520" t="s">
        <v>173</v>
      </c>
      <c r="E28" s="521"/>
      <c r="F28" s="521"/>
    </row>
    <row r="29" spans="1:7" ht="14.1" customHeight="1" thickBot="1" x14ac:dyDescent="0.3">
      <c r="A29" s="135" t="s">
        <v>110</v>
      </c>
      <c r="B29" s="396" t="s">
        <v>86</v>
      </c>
      <c r="C29" s="398">
        <f>Pool!AH27</f>
        <v>42</v>
      </c>
      <c r="D29" s="520" t="s">
        <v>179</v>
      </c>
      <c r="E29" s="521"/>
      <c r="F29" s="521"/>
    </row>
    <row r="30" spans="1:7" ht="14.1" customHeight="1" x14ac:dyDescent="0.25">
      <c r="A30" s="116"/>
      <c r="B30" s="399" t="s">
        <v>180</v>
      </c>
      <c r="C30" s="400">
        <f>SUM(C25:C29)</f>
        <v>1394.3799999999999</v>
      </c>
      <c r="F30" s="210"/>
    </row>
    <row r="31" spans="1:7" ht="5.0999999999999996" customHeight="1" x14ac:dyDescent="0.25">
      <c r="A31" s="116"/>
      <c r="B31" s="401"/>
      <c r="C31" s="400"/>
      <c r="F31" s="210"/>
    </row>
    <row r="32" spans="1:7" ht="14.1" customHeight="1" x14ac:dyDescent="0.25">
      <c r="A32" s="116"/>
      <c r="B32" s="402" t="s">
        <v>181</v>
      </c>
      <c r="C32" s="403">
        <f>C30+C22</f>
        <v>239041.77</v>
      </c>
      <c r="D32" s="521" t="s">
        <v>182</v>
      </c>
      <c r="E32" s="521"/>
      <c r="F32" s="521"/>
    </row>
    <row r="33" spans="1:6" ht="5.0999999999999996" customHeight="1" thickBot="1" x14ac:dyDescent="0.3">
      <c r="A33" s="116"/>
      <c r="B33" s="116"/>
      <c r="C33" s="116"/>
    </row>
    <row r="34" spans="1:6" ht="14.1" customHeight="1" thickBot="1" x14ac:dyDescent="0.3">
      <c r="A34" s="522" t="s">
        <v>184</v>
      </c>
      <c r="B34" s="523"/>
      <c r="C34" s="524"/>
    </row>
    <row r="35" spans="1:6" ht="14.1" customHeight="1" x14ac:dyDescent="0.25">
      <c r="A35" s="126" t="s">
        <v>60</v>
      </c>
      <c r="B35" s="127" t="s">
        <v>87</v>
      </c>
      <c r="C35" s="157">
        <f>Pool!AL32</f>
        <v>44342.920000000006</v>
      </c>
    </row>
    <row r="36" spans="1:6" ht="14.1" customHeight="1" x14ac:dyDescent="0.25">
      <c r="A36" s="129" t="s">
        <v>60</v>
      </c>
      <c r="B36" s="130" t="s">
        <v>89</v>
      </c>
      <c r="C36" s="158">
        <f>Pool!AM32</f>
        <v>827.28</v>
      </c>
    </row>
    <row r="37" spans="1:6" ht="14.1" customHeight="1" x14ac:dyDescent="0.25">
      <c r="A37" s="129" t="s">
        <v>60</v>
      </c>
      <c r="B37" s="130" t="s">
        <v>88</v>
      </c>
      <c r="C37" s="158">
        <f>Pool!AL33</f>
        <v>164853.47999999995</v>
      </c>
    </row>
    <row r="38" spans="1:6" ht="14.1" customHeight="1" x14ac:dyDescent="0.25">
      <c r="A38" s="129" t="s">
        <v>60</v>
      </c>
      <c r="B38" s="130" t="s">
        <v>90</v>
      </c>
      <c r="C38" s="158">
        <f>Pool!AM33</f>
        <v>21769.700000000004</v>
      </c>
      <c r="D38" s="266"/>
      <c r="E38" s="210"/>
    </row>
    <row r="39" spans="1:6" ht="14.1" customHeight="1" x14ac:dyDescent="0.25">
      <c r="A39" s="129" t="s">
        <v>60</v>
      </c>
      <c r="B39" s="130" t="s">
        <v>113</v>
      </c>
      <c r="C39" s="158">
        <f>Pool!AL34</f>
        <v>560</v>
      </c>
      <c r="D39" s="267"/>
      <c r="E39" s="210"/>
    </row>
    <row r="40" spans="1:6" ht="14.1" customHeight="1" x14ac:dyDescent="0.25">
      <c r="A40" s="129" t="s">
        <v>60</v>
      </c>
      <c r="B40" s="130" t="s">
        <v>114</v>
      </c>
      <c r="C40" s="158">
        <f>Pool!AM34</f>
        <v>0</v>
      </c>
      <c r="E40" s="210"/>
    </row>
    <row r="41" spans="1:6" ht="14.1" customHeight="1" x14ac:dyDescent="0.25">
      <c r="A41" s="129" t="s">
        <v>203</v>
      </c>
      <c r="B41" s="130" t="s">
        <v>205</v>
      </c>
      <c r="C41" s="158">
        <f>Pool!AL44</f>
        <v>5127.7899999999991</v>
      </c>
      <c r="E41" s="210"/>
    </row>
    <row r="42" spans="1:6" ht="14.1" customHeight="1" x14ac:dyDescent="0.25">
      <c r="A42" s="129" t="s">
        <v>203</v>
      </c>
      <c r="B42" s="130" t="s">
        <v>206</v>
      </c>
      <c r="C42" s="158">
        <f>Pool!AM44</f>
        <v>698.7299999999999</v>
      </c>
      <c r="E42" s="210"/>
    </row>
    <row r="43" spans="1:6" ht="14.1" hidden="1" customHeight="1" x14ac:dyDescent="0.25">
      <c r="A43" s="129" t="s">
        <v>60</v>
      </c>
      <c r="B43" s="130" t="s">
        <v>115</v>
      </c>
      <c r="C43" s="158">
        <f>Pool!AL35</f>
        <v>0</v>
      </c>
      <c r="E43" s="210"/>
    </row>
    <row r="44" spans="1:6" ht="14.1" hidden="1" customHeight="1" x14ac:dyDescent="0.25">
      <c r="A44" s="129" t="s">
        <v>60</v>
      </c>
      <c r="B44" s="130" t="s">
        <v>116</v>
      </c>
      <c r="C44" s="158">
        <f>Pool!AM35</f>
        <v>0</v>
      </c>
      <c r="E44" s="210"/>
    </row>
    <row r="45" spans="1:6" ht="14.1" customHeight="1" x14ac:dyDescent="0.25">
      <c r="A45" s="129" t="s">
        <v>32</v>
      </c>
      <c r="B45" s="130" t="s">
        <v>91</v>
      </c>
      <c r="C45" s="158">
        <f>Pool!AL42</f>
        <v>22.870000000001255</v>
      </c>
      <c r="D45" s="525"/>
      <c r="E45" s="526"/>
      <c r="F45" s="526"/>
    </row>
    <row r="46" spans="1:6" ht="14.1" customHeight="1" x14ac:dyDescent="0.25">
      <c r="A46" s="361" t="s">
        <v>67</v>
      </c>
      <c r="B46" s="362" t="s">
        <v>92</v>
      </c>
      <c r="C46" s="379">
        <f>Pool!AL36</f>
        <v>720</v>
      </c>
    </row>
    <row r="47" spans="1:6" ht="14.1" customHeight="1" thickBot="1" x14ac:dyDescent="0.3">
      <c r="A47" s="135" t="s">
        <v>110</v>
      </c>
      <c r="B47" s="136" t="s">
        <v>175</v>
      </c>
      <c r="C47" s="159">
        <f>Pool!AL37</f>
        <v>119</v>
      </c>
    </row>
    <row r="48" spans="1:6" ht="12.75" customHeight="1" x14ac:dyDescent="0.25">
      <c r="A48" s="205"/>
      <c r="B48" s="208" t="s">
        <v>65</v>
      </c>
      <c r="C48" s="209">
        <f>SUM(C35:C47)</f>
        <v>239041.77</v>
      </c>
    </row>
    <row r="49" spans="1:5" ht="5.0999999999999996" customHeight="1" thickBot="1" x14ac:dyDescent="0.3">
      <c r="D49" s="209"/>
      <c r="E49" s="210"/>
    </row>
    <row r="50" spans="1:5" ht="14.1" customHeight="1" x14ac:dyDescent="0.25">
      <c r="B50" s="126" t="s">
        <v>57</v>
      </c>
      <c r="C50" s="236">
        <f>Pool!AJ46</f>
        <v>12355</v>
      </c>
    </row>
    <row r="51" spans="1:5" ht="14.1" customHeight="1" x14ac:dyDescent="0.25">
      <c r="B51" s="129" t="s">
        <v>58</v>
      </c>
      <c r="C51" s="237">
        <f>Pool!AJ47</f>
        <v>2297</v>
      </c>
    </row>
    <row r="52" spans="1:5" ht="14.1" customHeight="1" thickBot="1" x14ac:dyDescent="0.3">
      <c r="B52" s="238" t="s">
        <v>107</v>
      </c>
      <c r="C52" s="239">
        <f>C50+C51</f>
        <v>14652</v>
      </c>
    </row>
    <row r="53" spans="1:5" ht="5.0999999999999996" customHeight="1" thickBot="1" x14ac:dyDescent="0.3"/>
    <row r="54" spans="1:5" ht="14.1" customHeight="1" thickBot="1" x14ac:dyDescent="0.3">
      <c r="B54" s="240" t="s">
        <v>119</v>
      </c>
      <c r="C54" s="241">
        <f>Pool!AJ53</f>
        <v>14.911793149777528</v>
      </c>
    </row>
    <row r="55" spans="1:5" ht="5.0999999999999996" customHeight="1" thickBot="1" x14ac:dyDescent="0.3"/>
    <row r="56" spans="1:5" ht="14.1" customHeight="1" thickBot="1" x14ac:dyDescent="0.3">
      <c r="A56" s="264"/>
      <c r="B56" s="299" t="s">
        <v>131</v>
      </c>
      <c r="C56" s="300" t="s">
        <v>142</v>
      </c>
    </row>
    <row r="57" spans="1:5" ht="14.1" customHeight="1" x14ac:dyDescent="0.25">
      <c r="B57" s="83" t="s">
        <v>136</v>
      </c>
      <c r="C57" s="311">
        <f>Pool!AJ56</f>
        <v>97.63333333333334</v>
      </c>
    </row>
    <row r="58" spans="1:5" ht="14.1" customHeight="1" x14ac:dyDescent="0.25">
      <c r="A58" s="264"/>
      <c r="B58" s="312" t="s">
        <v>137</v>
      </c>
      <c r="C58" s="313">
        <f>Pool!AJ57</f>
        <v>87.5</v>
      </c>
    </row>
    <row r="59" spans="1:5" ht="14.1" customHeight="1" x14ac:dyDescent="0.25">
      <c r="B59" s="312" t="s">
        <v>139</v>
      </c>
      <c r="C59" s="313">
        <f>Pool!AJ58</f>
        <v>78.766666666666666</v>
      </c>
    </row>
    <row r="60" spans="1:5" ht="14.1" customHeight="1" thickBot="1" x14ac:dyDescent="0.3">
      <c r="B60" s="314" t="s">
        <v>143</v>
      </c>
      <c r="C60" s="315">
        <f>Pool!AJ59</f>
        <v>0</v>
      </c>
    </row>
    <row r="61" spans="1:5" x14ac:dyDescent="0.25">
      <c r="A61" s="376"/>
      <c r="B61" s="376"/>
      <c r="C61" s="376"/>
      <c r="E61" s="376"/>
    </row>
    <row r="62" spans="1:5" x14ac:dyDescent="0.25">
      <c r="D62" s="376"/>
    </row>
  </sheetData>
  <sheetProtection algorithmName="SHA-512" hashValue="fjife+iGUeGeo2aeGTK4QrgCJtJdcBsA4ZGH6z4kzBLFcjZe8iB7P/U4DKN5DyCReSkB7M8jae4Qnvt3/fF5KQ==" saltValue="7Dpq9P+7YYqNjIQl7gBJ1w==" spinCount="100000" sheet="1" formatCells="0" formatColumns="0" formatRows="0" insertColumns="0" insertRows="0" insertHyperlinks="0" deleteColumns="0" deleteRows="0" sort="0" autoFilter="0" pivotTables="0"/>
  <mergeCells count="29">
    <mergeCell ref="D32:F32"/>
    <mergeCell ref="A34:C34"/>
    <mergeCell ref="A3:C3"/>
    <mergeCell ref="D45:F45"/>
    <mergeCell ref="A24:C24"/>
    <mergeCell ref="D29:F29"/>
    <mergeCell ref="D25:F25"/>
    <mergeCell ref="D26:F26"/>
    <mergeCell ref="D27:F27"/>
    <mergeCell ref="D28:F28"/>
    <mergeCell ref="D21:F21"/>
    <mergeCell ref="D22:F22"/>
    <mergeCell ref="D15:F15"/>
    <mergeCell ref="D16:F16"/>
    <mergeCell ref="D17:F17"/>
    <mergeCell ref="D18:F18"/>
    <mergeCell ref="D19:F19"/>
    <mergeCell ref="D20:F20"/>
    <mergeCell ref="D9:F9"/>
    <mergeCell ref="D10:F10"/>
    <mergeCell ref="D11:F11"/>
    <mergeCell ref="D13:F13"/>
    <mergeCell ref="D14:F14"/>
    <mergeCell ref="D4:F4"/>
    <mergeCell ref="D6:F6"/>
    <mergeCell ref="D12:F12"/>
    <mergeCell ref="D8:F8"/>
    <mergeCell ref="D7:F7"/>
    <mergeCell ref="D5:F5"/>
  </mergeCells>
  <pageMargins left="0.25" right="0.25" top="0" bottom="0" header="0.3" footer="0.3"/>
  <pageSetup orientation="portrait" horizontalDpi="300" verticalDpi="300" r:id="rId1"/>
  <headerFooter>
    <oddFooter>&amp;L&amp;8&amp;Z&amp;F&amp;R&amp;9&amp;A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Cash Flow</vt:lpstr>
      <vt:lpstr>Pool</vt:lpstr>
      <vt:lpstr>Pool Stats</vt:lpstr>
      <vt:lpstr>Visitor Center</vt:lpstr>
      <vt:lpstr>Box Canon</vt:lpstr>
      <vt:lpstr>Visitor Center JE</vt:lpstr>
      <vt:lpstr>Box Cañon JE</vt:lpstr>
      <vt:lpstr>POOL JE</vt:lpstr>
      <vt:lpstr>'Box Canon'!Print_Area</vt:lpstr>
      <vt:lpstr>'Box Cañon JE'!Print_Area</vt:lpstr>
      <vt:lpstr>Pool!Print_Area</vt:lpstr>
      <vt:lpstr>'POOL JE'!Print_Area</vt:lpstr>
      <vt:lpstr>'Visitor Center'!Print_Area</vt:lpstr>
      <vt:lpstr>'Visitor Center JE'!Print_Area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MartyJo Davis</dc:creator>
  <cp:lastModifiedBy>Julie Lancaster</cp:lastModifiedBy>
  <cp:lastPrinted>2022-10-12T21:06:53Z</cp:lastPrinted>
  <dcterms:created xsi:type="dcterms:W3CDTF">2017-08-14T15:26:56Z</dcterms:created>
  <dcterms:modified xsi:type="dcterms:W3CDTF">2022-12-08T18:02:50Z</dcterms:modified>
</cp:coreProperties>
</file>