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1710" windowHeight="0" activeTab="4"/>
  </bookViews>
  <sheets>
    <sheet name="Cash Flow" sheetId="2" r:id="rId1"/>
    <sheet name="Pool" sheetId="3" r:id="rId2"/>
    <sheet name="Pool Stats" sheetId="8" r:id="rId3"/>
    <sheet name="Visitor Center" sheetId="10" r:id="rId4"/>
    <sheet name="Box Canon" sheetId="9" r:id="rId5"/>
    <sheet name="Visitor Center JE" sheetId="11" r:id="rId6"/>
    <sheet name="Box Cañon JE" sheetId="7" r:id="rId7"/>
    <sheet name="POOL JE" sheetId="5" r:id="rId8"/>
  </sheets>
  <externalReferences>
    <externalReference r:id="rId9"/>
  </externalReferences>
  <definedNames>
    <definedName name="_xlnm.Print_Area" localSheetId="4">'Box Canon'!$A$2:$AH$46</definedName>
    <definedName name="_xlnm.Print_Area" localSheetId="6">'Box Cañon JE'!$A$1:$D$33</definedName>
    <definedName name="_xlnm.Print_Area" localSheetId="1">Pool!$A$1:$AH$53</definedName>
    <definedName name="_xlnm.Print_Area" localSheetId="7">'POOL JE'!$A$1:$C$60</definedName>
    <definedName name="_xlnm.Print_Area" localSheetId="3">'Visitor Center'!$A$1:$AH$14</definedName>
    <definedName name="_xlnm.Print_Area" localSheetId="5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5" i="3" l="1"/>
  <c r="AL8" i="10"/>
  <c r="AL7" i="10"/>
  <c r="AM8" i="10"/>
  <c r="AM7" i="10"/>
  <c r="AG53" i="3" l="1"/>
  <c r="AM13" i="10" l="1"/>
  <c r="AL13" i="10"/>
  <c r="AM44" i="3"/>
  <c r="AM33" i="3" s="1"/>
  <c r="AL44" i="3"/>
  <c r="AL33" i="3"/>
  <c r="AM29" i="9"/>
  <c r="AL29" i="9"/>
  <c r="AM21" i="9"/>
  <c r="AL21" i="9"/>
  <c r="AM32" i="3"/>
  <c r="AL32" i="3"/>
  <c r="AE15" i="3"/>
  <c r="AD15" i="3"/>
  <c r="AC15" i="3"/>
  <c r="AB15" i="3"/>
  <c r="AA15" i="3"/>
  <c r="Z15" i="3"/>
  <c r="Y15" i="3"/>
  <c r="X15" i="3"/>
  <c r="W15" i="3"/>
  <c r="AM20" i="9"/>
  <c r="AL20" i="9"/>
  <c r="V15" i="3" l="1"/>
  <c r="U7" i="3"/>
  <c r="U15" i="3"/>
  <c r="T15" i="3"/>
  <c r="S7" i="3"/>
  <c r="S15" i="3"/>
  <c r="R15" i="3"/>
  <c r="Q15" i="3"/>
  <c r="P15" i="3"/>
  <c r="O15" i="3"/>
  <c r="N15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3" i="3"/>
  <c r="L44" i="9" l="1"/>
  <c r="L43" i="9"/>
  <c r="L40" i="9"/>
  <c r="L39" i="9"/>
  <c r="K44" i="9"/>
  <c r="K43" i="9"/>
  <c r="K40" i="9"/>
  <c r="K39" i="9"/>
  <c r="J44" i="9" l="1"/>
  <c r="J43" i="9"/>
  <c r="J41" i="9"/>
  <c r="J40" i="9"/>
  <c r="J39" i="9"/>
  <c r="I44" i="9"/>
  <c r="I43" i="9"/>
  <c r="I40" i="9"/>
  <c r="I39" i="9"/>
  <c r="H44" i="9" l="1"/>
  <c r="H43" i="9"/>
  <c r="H41" i="9"/>
  <c r="H40" i="9"/>
  <c r="H39" i="9"/>
  <c r="G44" i="9"/>
  <c r="G43" i="9"/>
  <c r="G40" i="9"/>
  <c r="G39" i="9"/>
  <c r="F44" i="9"/>
  <c r="F43" i="9"/>
  <c r="F40" i="9"/>
  <c r="F39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C26" i="9"/>
  <c r="E44" i="9"/>
  <c r="E43" i="9"/>
  <c r="E40" i="9"/>
  <c r="E39" i="9"/>
  <c r="D44" i="9"/>
  <c r="D43" i="9"/>
  <c r="D41" i="9"/>
  <c r="D40" i="9"/>
  <c r="D39" i="9"/>
  <c r="C44" i="9"/>
  <c r="C43" i="9"/>
  <c r="C41" i="9"/>
  <c r="C40" i="9"/>
  <c r="C39" i="9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C14" i="11" l="1"/>
  <c r="AL34" i="3"/>
  <c r="AM34" i="3"/>
  <c r="AH8" i="3"/>
  <c r="AH7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5" i="11"/>
  <c r="C13" i="11"/>
  <c r="C11" i="11"/>
  <c r="C10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AH18" i="10" l="1"/>
  <c r="C12" i="11"/>
  <c r="D17" i="11" s="1"/>
  <c r="C6" i="5"/>
  <c r="AH9" i="10"/>
  <c r="AH20" i="10" s="1"/>
  <c r="AH11" i="10"/>
  <c r="AL11" i="10" s="1"/>
  <c r="AL9" i="10" l="1"/>
  <c r="AM12" i="10" s="1"/>
  <c r="AN12" i="10" s="1"/>
  <c r="C6" i="11"/>
  <c r="D8" i="11" s="1"/>
  <c r="E12" i="11" s="1"/>
  <c r="C18" i="7"/>
  <c r="AM22" i="9"/>
  <c r="AL22" i="9"/>
  <c r="C17" i="7" s="1"/>
  <c r="AN9" i="10" l="1"/>
  <c r="C19" i="7"/>
  <c r="C20" i="7"/>
  <c r="AH29" i="9" l="1"/>
  <c r="L41" i="9" l="1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F34" i="9"/>
  <c r="G34" i="9"/>
  <c r="I34" i="9"/>
  <c r="K34" i="9"/>
  <c r="O34" i="9"/>
  <c r="U34" i="9"/>
  <c r="V34" i="9"/>
  <c r="X34" i="9"/>
  <c r="Z34" i="9"/>
  <c r="AB34" i="9"/>
  <c r="AC34" i="9"/>
  <c r="AG34" i="9"/>
  <c r="AC33" i="9"/>
  <c r="AG33" i="9"/>
  <c r="AH34" i="9" l="1"/>
  <c r="AH41" i="9"/>
  <c r="AH44" i="3"/>
  <c r="AJ34" i="9" l="1"/>
  <c r="C27" i="7" s="1"/>
  <c r="C41" i="5"/>
  <c r="C42" i="5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39" i="3" l="1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C39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G44" i="9" l="1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L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AG32" i="9"/>
  <c r="D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V35" i="9"/>
  <c r="W35" i="9"/>
  <c r="X35" i="9"/>
  <c r="Y35" i="9"/>
  <c r="Z35" i="9"/>
  <c r="AA35" i="9"/>
  <c r="AB35" i="9"/>
  <c r="AC35" i="9"/>
  <c r="AD35" i="9"/>
  <c r="AF35" i="9"/>
  <c r="AG35" i="9"/>
  <c r="AG36" i="9"/>
  <c r="Y37" i="9"/>
  <c r="Z37" i="9"/>
  <c r="AC37" i="9"/>
  <c r="AG37" i="9"/>
  <c r="C35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H49" i="9" s="1"/>
  <c r="A21" i="9"/>
  <c r="AH21" i="9"/>
  <c r="AH23" i="9"/>
  <c r="Y38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51" i="9" s="1"/>
  <c r="AH26" i="9"/>
  <c r="C9" i="7" l="1"/>
  <c r="AL24" i="9"/>
  <c r="AL25" i="9" s="1"/>
  <c r="AN25" i="9" s="1"/>
  <c r="C32" i="7"/>
  <c r="AH19" i="3" l="1"/>
  <c r="C15" i="5" s="1"/>
  <c r="AH9" i="3"/>
  <c r="C7" i="5" s="1"/>
  <c r="AH10" i="3"/>
  <c r="C8" i="5" s="1"/>
  <c r="AH11" i="3"/>
  <c r="C26" i="5" s="1"/>
  <c r="AH12" i="3"/>
  <c r="C27" i="5" s="1"/>
  <c r="AH13" i="3"/>
  <c r="C28" i="5" s="1"/>
  <c r="B1" i="3" l="1"/>
  <c r="AH28" i="3" l="1"/>
  <c r="AH6" i="3" l="1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59" i="3" l="1"/>
  <c r="AJ59" i="3" s="1"/>
  <c r="C60" i="5" s="1"/>
  <c r="AH58" i="3"/>
  <c r="AJ58" i="3" s="1"/>
  <c r="M34" i="8" s="1"/>
  <c r="AH57" i="3"/>
  <c r="AJ57" i="3" s="1"/>
  <c r="L34" i="8" s="1"/>
  <c r="AH56" i="3"/>
  <c r="AJ56" i="3" s="1"/>
  <c r="K34" i="8" s="1"/>
  <c r="C59" i="5" l="1"/>
  <c r="C58" i="5"/>
  <c r="C57" i="5"/>
  <c r="AH29" i="3" l="1"/>
  <c r="C44" i="5" l="1"/>
  <c r="C40" i="5"/>
  <c r="C38" i="5"/>
  <c r="C36" i="5"/>
  <c r="C37" i="5" l="1"/>
  <c r="C35" i="5" l="1"/>
  <c r="AH53" i="3" l="1"/>
  <c r="AJ53" i="3" s="1"/>
  <c r="C54" i="5" s="1"/>
  <c r="B8" i="2"/>
  <c r="B1" i="7" l="1"/>
  <c r="AH16" i="3" l="1"/>
  <c r="C11" i="5" s="1"/>
  <c r="AH17" i="3"/>
  <c r="C12" i="5" s="1"/>
  <c r="D49" i="3" l="1"/>
  <c r="D51" i="3" s="1"/>
  <c r="E49" i="3"/>
  <c r="E51" i="3" s="1"/>
  <c r="F49" i="3"/>
  <c r="F51" i="3" s="1"/>
  <c r="G49" i="3"/>
  <c r="G51" i="3" s="1"/>
  <c r="H49" i="3"/>
  <c r="H51" i="3" s="1"/>
  <c r="I49" i="3"/>
  <c r="I51" i="3" s="1"/>
  <c r="J49" i="3"/>
  <c r="J51" i="3" s="1"/>
  <c r="K49" i="3"/>
  <c r="K51" i="3" s="1"/>
  <c r="L49" i="3"/>
  <c r="L51" i="3" s="1"/>
  <c r="M49" i="3"/>
  <c r="M51" i="3" s="1"/>
  <c r="N49" i="3"/>
  <c r="N51" i="3" s="1"/>
  <c r="O49" i="3"/>
  <c r="O51" i="3" s="1"/>
  <c r="P49" i="3"/>
  <c r="P51" i="3" s="1"/>
  <c r="Q49" i="3"/>
  <c r="Q51" i="3" s="1"/>
  <c r="R49" i="3"/>
  <c r="R51" i="3" s="1"/>
  <c r="S49" i="3"/>
  <c r="S51" i="3" s="1"/>
  <c r="T49" i="3"/>
  <c r="T51" i="3" s="1"/>
  <c r="U49" i="3"/>
  <c r="U51" i="3" s="1"/>
  <c r="V49" i="3"/>
  <c r="V51" i="3" s="1"/>
  <c r="W49" i="3"/>
  <c r="W51" i="3" s="1"/>
  <c r="X49" i="3"/>
  <c r="X51" i="3" s="1"/>
  <c r="Y49" i="3"/>
  <c r="Y51" i="3" s="1"/>
  <c r="Z49" i="3"/>
  <c r="Z51" i="3" s="1"/>
  <c r="AA49" i="3"/>
  <c r="AA51" i="3" s="1"/>
  <c r="AB49" i="3"/>
  <c r="AB51" i="3" s="1"/>
  <c r="AC49" i="3"/>
  <c r="AC51" i="3" s="1"/>
  <c r="AD49" i="3"/>
  <c r="AD51" i="3" s="1"/>
  <c r="AE49" i="3"/>
  <c r="AE51" i="3" s="1"/>
  <c r="AF49" i="3"/>
  <c r="AF51" i="3" s="1"/>
  <c r="AG49" i="3"/>
  <c r="AG51" i="3" s="1"/>
  <c r="C49" i="3"/>
  <c r="C51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7" i="3"/>
  <c r="AH46" i="3"/>
  <c r="AJ46" i="3" s="1"/>
  <c r="AH39" i="3"/>
  <c r="AH33" i="3"/>
  <c r="AH62" i="3" s="1"/>
  <c r="AH34" i="3"/>
  <c r="C39" i="5" s="1"/>
  <c r="AH35" i="3"/>
  <c r="AH36" i="3"/>
  <c r="AL36" i="3" s="1"/>
  <c r="AH37" i="3"/>
  <c r="AL37" i="3" s="1"/>
  <c r="C47" i="5" s="1"/>
  <c r="C46" i="5" l="1"/>
  <c r="AL38" i="3"/>
  <c r="AJ47" i="3"/>
  <c r="C51" i="5" s="1"/>
  <c r="C43" i="5"/>
  <c r="O34" i="8"/>
  <c r="C50" i="5"/>
  <c r="C52" i="5" l="1"/>
  <c r="AH51" i="3"/>
  <c r="AJ51" i="3" s="1"/>
  <c r="AH49" i="3"/>
  <c r="AJ49" i="3" s="1"/>
  <c r="AH25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2" i="3" l="1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D38" i="3"/>
  <c r="D40" i="3" s="1"/>
  <c r="E38" i="3"/>
  <c r="E40" i="3" s="1"/>
  <c r="F38" i="3"/>
  <c r="F40" i="3" s="1"/>
  <c r="G38" i="3"/>
  <c r="G40" i="3" s="1"/>
  <c r="H38" i="3"/>
  <c r="H40" i="3" s="1"/>
  <c r="I38" i="3"/>
  <c r="I40" i="3" s="1"/>
  <c r="J38" i="3"/>
  <c r="J40" i="3" s="1"/>
  <c r="K38" i="3"/>
  <c r="K40" i="3" s="1"/>
  <c r="L38" i="3"/>
  <c r="L40" i="3" s="1"/>
  <c r="M38" i="3"/>
  <c r="M40" i="3" s="1"/>
  <c r="N38" i="3"/>
  <c r="N40" i="3" s="1"/>
  <c r="O38" i="3"/>
  <c r="O40" i="3" s="1"/>
  <c r="P38" i="3"/>
  <c r="P40" i="3" s="1"/>
  <c r="Q38" i="3"/>
  <c r="Q40" i="3" s="1"/>
  <c r="R38" i="3"/>
  <c r="R40" i="3" s="1"/>
  <c r="S38" i="3"/>
  <c r="S40" i="3" s="1"/>
  <c r="T38" i="3"/>
  <c r="T40" i="3" s="1"/>
  <c r="U38" i="3"/>
  <c r="U40" i="3" s="1"/>
  <c r="V38" i="3"/>
  <c r="V40" i="3" s="1"/>
  <c r="W38" i="3"/>
  <c r="W40" i="3" s="1"/>
  <c r="X38" i="3"/>
  <c r="X40" i="3" s="1"/>
  <c r="Y38" i="3"/>
  <c r="Y40" i="3" s="1"/>
  <c r="Z38" i="3"/>
  <c r="Z40" i="3" s="1"/>
  <c r="AA38" i="3"/>
  <c r="AA40" i="3" s="1"/>
  <c r="AB38" i="3"/>
  <c r="AB40" i="3" s="1"/>
  <c r="AC38" i="3"/>
  <c r="AC40" i="3" s="1"/>
  <c r="AD38" i="3"/>
  <c r="AD40" i="3" s="1"/>
  <c r="AE38" i="3"/>
  <c r="AE40" i="3" s="1"/>
  <c r="AF38" i="3"/>
  <c r="AF40" i="3" s="1"/>
  <c r="AG38" i="3"/>
  <c r="AG40" i="3" s="1"/>
  <c r="D28" i="3"/>
  <c r="D30" i="3" s="1"/>
  <c r="E28" i="3"/>
  <c r="E30" i="3" s="1"/>
  <c r="F28" i="3"/>
  <c r="F30" i="3" s="1"/>
  <c r="G28" i="3"/>
  <c r="G30" i="3" s="1"/>
  <c r="H28" i="3"/>
  <c r="H30" i="3" s="1"/>
  <c r="I28" i="3"/>
  <c r="I30" i="3" s="1"/>
  <c r="J28" i="3"/>
  <c r="J30" i="3" s="1"/>
  <c r="K28" i="3"/>
  <c r="K30" i="3" s="1"/>
  <c r="L28" i="3"/>
  <c r="L30" i="3" s="1"/>
  <c r="M28" i="3"/>
  <c r="M30" i="3" s="1"/>
  <c r="N28" i="3"/>
  <c r="N30" i="3" s="1"/>
  <c r="O28" i="3"/>
  <c r="O30" i="3" s="1"/>
  <c r="P28" i="3"/>
  <c r="P30" i="3" s="1"/>
  <c r="Q28" i="3"/>
  <c r="Q30" i="3" s="1"/>
  <c r="R28" i="3"/>
  <c r="R30" i="3" s="1"/>
  <c r="S28" i="3"/>
  <c r="S30" i="3" s="1"/>
  <c r="T28" i="3"/>
  <c r="T30" i="3" s="1"/>
  <c r="U28" i="3"/>
  <c r="U30" i="3" s="1"/>
  <c r="V28" i="3"/>
  <c r="V30" i="3" s="1"/>
  <c r="W28" i="3"/>
  <c r="W30" i="3" s="1"/>
  <c r="X28" i="3"/>
  <c r="X30" i="3" s="1"/>
  <c r="Y28" i="3"/>
  <c r="Y30" i="3" s="1"/>
  <c r="Z28" i="3"/>
  <c r="Z30" i="3" s="1"/>
  <c r="AA28" i="3"/>
  <c r="AA30" i="3" s="1"/>
  <c r="AB28" i="3"/>
  <c r="AB30" i="3" s="1"/>
  <c r="AC28" i="3"/>
  <c r="AC30" i="3" s="1"/>
  <c r="AD28" i="3"/>
  <c r="AD30" i="3" s="1"/>
  <c r="AE28" i="3"/>
  <c r="AE30" i="3" s="1"/>
  <c r="AF28" i="3"/>
  <c r="AF30" i="3" s="1"/>
  <c r="AG28" i="3"/>
  <c r="AG30" i="3" s="1"/>
  <c r="AH32" i="3"/>
  <c r="AH4" i="3"/>
  <c r="C4" i="5" s="1"/>
  <c r="AH5" i="3"/>
  <c r="C5" i="5" s="1"/>
  <c r="AH14" i="3"/>
  <c r="C9" i="5" s="1"/>
  <c r="AH15" i="3"/>
  <c r="C10" i="5" s="1"/>
  <c r="AH18" i="3"/>
  <c r="C13" i="5" s="1"/>
  <c r="AH20" i="3"/>
  <c r="C14" i="5" s="1"/>
  <c r="AH21" i="3"/>
  <c r="C16" i="5" s="1"/>
  <c r="AH22" i="3"/>
  <c r="C17" i="5" s="1"/>
  <c r="AH23" i="3"/>
  <c r="C18" i="5" s="1"/>
  <c r="AH24" i="3"/>
  <c r="C19" i="5" s="1"/>
  <c r="AH26" i="3"/>
  <c r="C21" i="5" s="1"/>
  <c r="AH27" i="3"/>
  <c r="C29" i="5" s="1"/>
  <c r="AH3" i="3"/>
  <c r="C25" i="5" s="1"/>
  <c r="C42" i="3"/>
  <c r="C28" i="3"/>
  <c r="C30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0" i="5" l="1"/>
  <c r="A10" i="2"/>
  <c r="B9" i="2"/>
  <c r="C40" i="2"/>
  <c r="G40" i="2"/>
  <c r="E42" i="3"/>
  <c r="AH42" i="3" s="1"/>
  <c r="AH30" i="3"/>
  <c r="C38" i="3"/>
  <c r="O42" i="2"/>
  <c r="Q42" i="2"/>
  <c r="C22" i="5" l="1"/>
  <c r="C32" i="5" s="1"/>
  <c r="A11" i="2"/>
  <c r="B10" i="2"/>
  <c r="AL42" i="3"/>
  <c r="AM43" i="3" s="1"/>
  <c r="AH38" i="3"/>
  <c r="C40" i="3"/>
  <c r="AH40" i="3" s="1"/>
  <c r="AN38" i="3" l="1"/>
  <c r="AH64" i="3"/>
  <c r="C45" i="5"/>
  <c r="C48" i="5" s="1"/>
  <c r="AN43" i="3"/>
  <c r="AJ40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MartyJo Davis</author>
  </authors>
  <commentList>
    <comment ref="AN36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AN4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<sst xmlns="http://schemas.openxmlformats.org/spreadsheetml/2006/main" count="542" uniqueCount="241">
  <si>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</si>
  <si>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</si>
  <si>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</si>
  <si>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</si>
  <si>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</si>
  <si>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</si>
  <si>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</si>
  <si>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</si>
  <si>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</si>
  <si>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</si>
  <si>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</si>
  <si>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</si>
  <si>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</si>
  <si>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</si>
  <si>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</si>
  <si>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</si>
  <si>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</si>
  <si>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</si>
  <si>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</si>
  <si>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</si>
  <si>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</si>
  <si>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</si>
  <si>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</si>
  <si>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</si>
  <si>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</si>
  <si>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</si>
  <si>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</si>
  <si>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</si>
  <si>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</si>
  <si>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</si>
  <si>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</si>
  <si>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</si>
  <si>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</si>
  <si>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</si>
  <si>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</si>
  <si>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</si>
  <si>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</si>
  <si>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</si>
  <si>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</si>
  <si>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</si>
  <si>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</si>
  <si>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</si>
  <si>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</si>
  <si>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</si>
  <si>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</si>
  <si>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</si>
  <si>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</si>
  <si>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</si>
  <si>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</si>
  <si>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</si>
  <si>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</si>
  <si>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</si>
  <si>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</si>
  <si>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</si>
  <si>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</si>
  <si>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</si>
  <si>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</si>
  <si>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</si>
  <si>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</si>
  <si>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</si>
  <si>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</si>
  <si>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</si>
  <si>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</si>
  <si>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</si>
  <si>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</si>
  <si>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</si>
  <si>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</si>
  <si>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</si>
  <si>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</si>
  <si>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</si>
  <si>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</si>
  <si>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</si>
  <si>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</si>
  <si>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</si>
  <si>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</si>
  <si>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</si>
  <si>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</si>
  <si>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</si>
  <si>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</si>
  <si>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</si>
  <si>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</si>
  <si>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</si>
  <si>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</si>
  <si>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</si>
  <si>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</si>
  <si>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</si>
  <si>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</si>
  <si>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</si>
  <si>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</si>
  <si>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</si>
  <si>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</si>
  <si>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</si>
  <si>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</si>
  <si>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</si>
  <si>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</si>
  <si>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</si>
  <si>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</si>
  <si>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</si>
  <si>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</si>
  <si>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</si>
  <si>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</si>
  <si>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</si>
  <si>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</si>
  <si>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</si>
  <si>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</si>
  <si>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</si>
  <si>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</si>
  <si>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</si>
  <si>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</si>
  <si>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</si>
  <si>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</si>
  <si>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</si>
  <si>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</si>
  <si>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</si>
  <si>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</si>
  <si>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</si>
  <si>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</si>
  <si>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</si>
  <si>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</si>
  <si>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</si>
  <si>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</si>
  <si>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</si>
  <si>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</si>
  <si>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</si>
  <si>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</si>
  <si>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</si>
  <si>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</si>
  <si>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</si>
  <si>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</si>
  <si>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</si>
  <si>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</si>
  <si>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</si>
  <si>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</si>
  <si>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</si>
  <si>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</si>
  <si>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</si>
  <si>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</si>
  <si>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</si>
  <si>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</si>
  <si>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</si>
  <si>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</si>
  <si>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</si>
  <si>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</si>
  <si>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</si>
  <si>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</si>
  <si>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</si>
  <si>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</si>
  <si>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</si>
  <si>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</si>
  <si>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</si>
  <si>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</si>
  <si>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</si>
  <si>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</si>
  <si>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</si>
  <si>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</si>
  <si>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</si>
  <si>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</si>
  <si>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</si>
  <si>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</si>
  <si>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</si>
  <si>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</si>
  <si>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</si>
  <si>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</si>
  <si>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</si>
  <si>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</si>
  <si>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</si>
  <si>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</si>
  <si>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</si>
  <si>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</si>
  <si>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</si>
  <si>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</si>
  <si>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</si>
  <si>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</si>
  <si>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</si>
  <si>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</si>
  <si>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</si>
  <si>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</si>
  <si>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</si>
  <si>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</si>
  <si>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</si>
  <si>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</si>
  <si>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</si>
  <si>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</si>
  <si>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</si>
  <si>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</si>
  <si>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</si>
  <si>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</si>
  <si>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</si>
  <si>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</si>
  <si>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</si>
  <si>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</si>
  <si>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</si>
  <si>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</si>
  <si>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</si>
  <si>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</si>
  <si>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</si>
  <si>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</si>
  <si>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</si>
  <si>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</si>
  <si>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</si>
  <si>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</si>
  <si>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</si>
  <si>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</si>
  <si>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</si>
  <si>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</si>
  <si>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</si>
  <si>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</si>
  <si>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</si>
  <si>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</si>
  <si>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</si>
  <si>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</si>
  <si>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</si>
  <si>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</si>
  <si>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BC CC Processing Fees Cleared</t>
  </si>
  <si>
    <t>BC CC Processing Fees Outstanding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</si>
  <si>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</si>
  <si>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</si>
  <si>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</si>
  <si>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</si>
  <si>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</si>
  <si>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</si>
  <si>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</si>
  <si>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</si>
  <si>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</si>
  <si>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</si>
  <si>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</si>
  <si>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</si>
  <si>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</si>
  <si>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</si>
  <si>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</si>
  <si>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</si>
  <si>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</si>
  <si>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</si>
  <si>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VC CC Processing Fees Cleared</t>
  </si>
  <si>
    <t>VC CC Processing Fees Outstanding</t>
  </si>
  <si>
    <t>Punch Pass Revenue</t>
  </si>
  <si>
    <t>October</t>
  </si>
  <si>
    <t>closed</t>
  </si>
  <si>
    <t>Credit card fees % of total cc sales</t>
  </si>
  <si>
    <t>Percentage of total sales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</si>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</sst>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  <numFmt numFmtId="166" formatCode="0.000%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7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6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7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2" fontId="12" fillId="7" borderId="46" xfId="0" applyNumberFormat="1" applyFont="1" applyFill="1" applyBorder="1" applyProtection="1"/>
    <xf numFmtId="0" fontId="12" fillId="7" borderId="46" xfId="0" applyFont="1" applyFill="1" applyBorder="1" applyProtection="1"/>
    <xf numFmtId="43" fontId="12" fillId="7" borderId="19" xfId="0" applyNumberFormat="1" applyFont="1" applyFill="1" applyBorder="1" applyProtection="1"/>
    <xf numFmtId="43" fontId="13" fillId="7" borderId="73" xfId="0" applyNumberFormat="1" applyFont="1" applyFill="1" applyBorder="1" applyProtection="1"/>
    <xf numFmtId="43" fontId="12" fillId="7" borderId="9" xfId="0" applyNumberFormat="1" applyFont="1" applyFill="1" applyBorder="1" applyProtection="1"/>
    <xf numFmtId="166" fontId="14" fillId="0" borderId="0" xfId="5" applyNumberFormat="1" applyFont="1" applyFill="1" applyProtection="1">
      <protection locked="0"/>
    </xf>
    <xf numFmtId="166" fontId="0" fillId="0" borderId="0" xfId="5" applyNumberFormat="1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43" fontId="42" fillId="0" borderId="73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5" fillId="7" borderId="9" xfId="0" applyNumberFormat="1" applyFont="1" applyFill="1" applyBorder="1" applyProtection="1"/>
    <xf numFmtId="43" fontId="42" fillId="7" borderId="73" xfId="0" applyNumberFormat="1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0" fontId="45" fillId="7" borderId="46" xfId="0" applyFont="1" applyFill="1" applyBorder="1" applyProtection="1"/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2" fontId="45" fillId="7" borderId="46" xfId="0" applyNumberFormat="1" applyFont="1" applyFill="1" applyBorder="1" applyProtection="1"/>
    <xf numFmtId="0" fontId="12" fillId="0" borderId="9" xfId="0" applyFont="1" applyBorder="1" applyAlignment="1" applyProtection="1">
      <alignment horizontal="left"/>
      <protection locked="0"/>
    </xf>
    <xf numFmtId="0" fontId="45" fillId="7" borderId="58" xfId="0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236</v>
      </c>
      <c r="D1" s="384">
        <v>2022</v>
      </c>
      <c r="G1" s="217"/>
    </row>
    <row r="3" spans="1:22" x14ac:dyDescent="0.2">
      <c r="A3" s="5"/>
    </row>
    <row r="4" spans="1:22" s="1" customFormat="1" x14ac:dyDescent="0.2">
      <c r="B4" s="230"/>
      <c r="C4" s="501" t="s">
        <v>1</v>
      </c>
      <c r="D4" s="502"/>
      <c r="E4" s="502"/>
      <c r="F4" s="502"/>
      <c r="G4" s="502"/>
      <c r="H4" s="502"/>
      <c r="I4" s="502"/>
      <c r="J4" s="502"/>
      <c r="K4" s="502"/>
      <c r="L4" s="502"/>
      <c r="M4" s="503"/>
      <c r="N4" s="6"/>
      <c r="O4" s="504" t="s">
        <v>2</v>
      </c>
      <c r="P4" s="505"/>
      <c r="Q4" s="505"/>
      <c r="R4" s="506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109</v>
      </c>
      <c r="H6" s="14" t="s">
        <v>100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44835</v>
      </c>
      <c r="B8" s="232" t="str">
        <f>TEXT(A8, "DDD")</f>
        <v>Sat</v>
      </c>
      <c r="C8" s="152">
        <f t="array" ref="C8:C38">TRANSPOSE(Pool!C32:AG32)</f>
        <v>1486.39</v>
      </c>
      <c r="D8" s="58">
        <f>'Box Canon'!C18+'Box Canon'!C19</f>
        <v>1249.93</v>
      </c>
      <c r="E8" s="21"/>
      <c r="F8" s="21"/>
      <c r="G8" s="151">
        <f t="array" ref="G8:G38">TRANSPOSE(Pool!C33:AG33)</f>
        <v>8999.9699999999993</v>
      </c>
      <c r="H8" s="151">
        <f t="array" ref="H8:H38">TRANSPOSE(Pool!C34:AG34)</f>
        <v>0</v>
      </c>
      <c r="I8" s="151">
        <f>'Box Canon'!C20+'Box Canon'!C21</f>
        <v>1384.15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44836</v>
      </c>
      <c r="B9" s="232" t="str">
        <f t="shared" ref="B9:B38" si="0">TEXT(A9, "DDD")</f>
        <v>Sun</v>
      </c>
      <c r="C9" s="152">
        <v>743</v>
      </c>
      <c r="D9" s="58">
        <f>'Box Canon'!D18+'Box Canon'!D19</f>
        <v>714.76</v>
      </c>
      <c r="E9" s="21"/>
      <c r="F9" s="21"/>
      <c r="G9" s="151">
        <v>3100.71</v>
      </c>
      <c r="H9" s="151">
        <v>0</v>
      </c>
      <c r="I9" s="151">
        <f>'Box Canon'!D20+'Box Canon'!D21</f>
        <v>785.66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44837</v>
      </c>
      <c r="B10" s="232" t="str">
        <f t="shared" si="0"/>
        <v>Mon</v>
      </c>
      <c r="C10" s="152">
        <v>379.26</v>
      </c>
      <c r="D10" s="58">
        <f>'Box Canon'!E18+'Box Canon'!E19</f>
        <v>867.1099999999999</v>
      </c>
      <c r="E10" s="21"/>
      <c r="F10" s="21"/>
      <c r="G10" s="151">
        <v>3084.79</v>
      </c>
      <c r="H10" s="151">
        <v>0</v>
      </c>
      <c r="I10" s="151">
        <f>'Box Canon'!E20+'Box Canon'!E21</f>
        <v>893.88999999999987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44838</v>
      </c>
      <c r="B11" s="232" t="str">
        <f t="shared" si="0"/>
        <v>Tue</v>
      </c>
      <c r="C11" s="152">
        <v>1596.5</v>
      </c>
      <c r="D11" s="58">
        <f>'Box Canon'!F18+'Box Canon'!F19</f>
        <v>947.31999999999994</v>
      </c>
      <c r="E11" s="21"/>
      <c r="F11" s="21"/>
      <c r="G11" s="151">
        <v>6355.02</v>
      </c>
      <c r="H11" s="153">
        <v>0</v>
      </c>
      <c r="I11" s="151">
        <f>'Box Canon'!F20+'Box Canon'!F21</f>
        <v>1173.4099999999999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44839</v>
      </c>
      <c r="B12" s="232" t="str">
        <f t="shared" si="0"/>
        <v>Wed</v>
      </c>
      <c r="C12" s="152">
        <v>1055.04</v>
      </c>
      <c r="D12" s="58">
        <f>'Box Canon'!G18+'Box Canon'!G19</f>
        <v>944.84</v>
      </c>
      <c r="E12" s="21"/>
      <c r="F12" s="21"/>
      <c r="G12" s="151">
        <v>3634.01</v>
      </c>
      <c r="H12" s="153">
        <v>0</v>
      </c>
      <c r="I12" s="151">
        <f>'Box Canon'!G20+'Box Canon'!G21</f>
        <v>918.05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44840</v>
      </c>
      <c r="B13" s="232" t="str">
        <f t="shared" si="0"/>
        <v>Thu</v>
      </c>
      <c r="C13" s="152">
        <v>1626.21</v>
      </c>
      <c r="D13" s="58">
        <f>'Box Canon'!H18+'Box Canon'!H19</f>
        <v>826.94</v>
      </c>
      <c r="E13" s="21"/>
      <c r="F13" s="21"/>
      <c r="G13" s="151">
        <v>5140.87</v>
      </c>
      <c r="H13" s="153">
        <v>0</v>
      </c>
      <c r="I13" s="151">
        <f>'Box Canon'!H20+'Box Canon'!H21</f>
        <v>1511.29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44841</v>
      </c>
      <c r="B14" s="232" t="str">
        <f t="shared" si="0"/>
        <v>Fri</v>
      </c>
      <c r="C14" s="152">
        <v>1059.96</v>
      </c>
      <c r="D14" s="58">
        <f>'Box Canon'!I18+'Box Canon'!I19</f>
        <v>1065.5300000000002</v>
      </c>
      <c r="E14" s="21"/>
      <c r="F14" s="21"/>
      <c r="G14" s="151">
        <v>5410.84</v>
      </c>
      <c r="H14" s="153">
        <v>0</v>
      </c>
      <c r="I14" s="151">
        <f>'Box Canon'!I20+'Box Canon'!I21</f>
        <v>1163.07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44842</v>
      </c>
      <c r="B15" s="232" t="str">
        <f t="shared" si="0"/>
        <v>Sat</v>
      </c>
      <c r="C15" s="152">
        <v>2421.8000000000002</v>
      </c>
      <c r="D15" s="58">
        <f>'Box Canon'!J18+'Box Canon'!J19</f>
        <v>1559.74</v>
      </c>
      <c r="E15" s="21"/>
      <c r="F15" s="21"/>
      <c r="G15" s="151">
        <v>10403.76</v>
      </c>
      <c r="H15" s="153">
        <v>0</v>
      </c>
      <c r="I15" s="151">
        <f>'Box Canon'!J20+'Box Canon'!J21</f>
        <v>2110.12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44843</v>
      </c>
      <c r="B16" s="232" t="str">
        <f t="shared" si="0"/>
        <v>Sun</v>
      </c>
      <c r="C16" s="152">
        <v>1766.76</v>
      </c>
      <c r="D16" s="58">
        <f>'Box Canon'!K18+'Box Canon'!K19</f>
        <v>1477.3</v>
      </c>
      <c r="E16" s="21"/>
      <c r="F16" s="21"/>
      <c r="G16" s="151">
        <v>7709.71</v>
      </c>
      <c r="H16" s="153">
        <v>0</v>
      </c>
      <c r="I16" s="151">
        <f>'Box Canon'!K20+'Box Canon'!K21</f>
        <v>1722.98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44844</v>
      </c>
      <c r="B17" s="232" t="str">
        <f t="shared" si="0"/>
        <v>Mon</v>
      </c>
      <c r="C17" s="152">
        <v>864.1</v>
      </c>
      <c r="D17" s="58">
        <f>'Box Canon'!L18+'Box Canon'!L19</f>
        <v>806.31</v>
      </c>
      <c r="E17" s="21"/>
      <c r="F17" s="21"/>
      <c r="G17" s="151">
        <v>4795.8999999999996</v>
      </c>
      <c r="H17" s="153">
        <v>0</v>
      </c>
      <c r="I17" s="151">
        <f>'Box Canon'!L20+'Box Canon'!L21</f>
        <v>1139.33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44845</v>
      </c>
      <c r="B18" s="232" t="str">
        <f t="shared" si="0"/>
        <v>Tue</v>
      </c>
      <c r="C18" s="152">
        <v>844.95</v>
      </c>
      <c r="D18" s="58">
        <f>'Box Canon'!M18+'Box Canon'!M19</f>
        <v>617.20000000000005</v>
      </c>
      <c r="E18" s="21"/>
      <c r="F18" s="21"/>
      <c r="G18" s="151">
        <v>4184.43</v>
      </c>
      <c r="H18" s="153">
        <v>0</v>
      </c>
      <c r="I18" s="151">
        <f>'Box Canon'!M20+'Box Canon'!M21</f>
        <v>1016.13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44846</v>
      </c>
      <c r="B19" s="232" t="str">
        <f t="shared" si="0"/>
        <v>Wed</v>
      </c>
      <c r="C19" s="152">
        <v>1057.5</v>
      </c>
      <c r="D19" s="58">
        <f>'Box Canon'!N18+'Box Canon'!N19</f>
        <v>741.99</v>
      </c>
      <c r="E19" s="21"/>
      <c r="F19" s="21"/>
      <c r="G19" s="151">
        <v>3673.21</v>
      </c>
      <c r="H19" s="153">
        <v>0</v>
      </c>
      <c r="I19" s="151">
        <f>'Box Canon'!N20+'Box Canon'!N21</f>
        <v>824.83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44847</v>
      </c>
      <c r="B20" s="232" t="str">
        <f t="shared" si="0"/>
        <v>Thu</v>
      </c>
      <c r="C20" s="152">
        <v>1142.77</v>
      </c>
      <c r="D20" s="58">
        <f>'Box Canon'!O18+'Box Canon'!O19</f>
        <v>689.54</v>
      </c>
      <c r="E20" s="21"/>
      <c r="F20" s="21"/>
      <c r="G20" s="151">
        <v>5772.31</v>
      </c>
      <c r="H20" s="153">
        <v>0</v>
      </c>
      <c r="I20" s="151">
        <f>'Box Canon'!O20+'Box Canon'!O21</f>
        <v>992.41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44848</v>
      </c>
      <c r="B21" s="232" t="str">
        <f t="shared" si="0"/>
        <v>Fri</v>
      </c>
      <c r="C21" s="152">
        <v>1795.13</v>
      </c>
      <c r="D21" s="58">
        <f>'Box Canon'!P18+'Box Canon'!P19</f>
        <v>964.31</v>
      </c>
      <c r="E21" s="41"/>
      <c r="F21" s="21"/>
      <c r="G21" s="151">
        <v>8551.44</v>
      </c>
      <c r="H21" s="153">
        <v>0</v>
      </c>
      <c r="I21" s="151">
        <f>'Box Canon'!P20+'Box Canon'!P21</f>
        <v>1151.8499999999999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44849</v>
      </c>
      <c r="B22" s="232" t="str">
        <f t="shared" si="0"/>
        <v>Sat</v>
      </c>
      <c r="C22" s="152">
        <v>1933.68</v>
      </c>
      <c r="D22" s="58">
        <f>'Box Canon'!Q18+'Box Canon'!Q19</f>
        <v>1293.68</v>
      </c>
      <c r="E22" s="21"/>
      <c r="F22" s="21"/>
      <c r="G22" s="151">
        <v>11707.1</v>
      </c>
      <c r="H22" s="153">
        <v>0</v>
      </c>
      <c r="I22" s="151">
        <f>'Box Canon'!Q20+'Box Canon'!Q21</f>
        <v>1917.68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44850</v>
      </c>
      <c r="B23" s="232" t="str">
        <f t="shared" si="0"/>
        <v>Sun</v>
      </c>
      <c r="C23" s="152">
        <v>644.13</v>
      </c>
      <c r="D23" s="58">
        <f>'Box Canon'!R18+'Box Canon'!R19</f>
        <v>876.31</v>
      </c>
      <c r="E23" s="21"/>
      <c r="F23" s="21"/>
      <c r="G23" s="151">
        <v>5856.8</v>
      </c>
      <c r="H23" s="153">
        <v>0</v>
      </c>
      <c r="I23" s="151">
        <f>'Box Canon'!R20+'Box Canon'!R21</f>
        <v>1193.8699999999999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44851</v>
      </c>
      <c r="B24" s="232" t="str">
        <f t="shared" si="0"/>
        <v>Mon</v>
      </c>
      <c r="C24" s="152">
        <v>896.21</v>
      </c>
      <c r="D24" s="58">
        <f>'Box Canon'!S18+'Box Canon'!S19</f>
        <v>634.84</v>
      </c>
      <c r="E24" s="21"/>
      <c r="F24" s="21"/>
      <c r="G24" s="151">
        <v>4837.93</v>
      </c>
      <c r="H24" s="153">
        <v>0</v>
      </c>
      <c r="I24" s="151">
        <f>'Box Canon'!S20+'Box Canon'!S21</f>
        <v>660.15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44852</v>
      </c>
      <c r="B25" s="232" t="str">
        <f t="shared" si="0"/>
        <v>Tue</v>
      </c>
      <c r="C25" s="152">
        <v>169.5</v>
      </c>
      <c r="D25" s="58">
        <f>'Box Canon'!T18+'Box Canon'!T19</f>
        <v>576.76</v>
      </c>
      <c r="E25" s="21"/>
      <c r="F25" s="21"/>
      <c r="G25" s="151">
        <v>1333.64</v>
      </c>
      <c r="H25" s="153">
        <v>0</v>
      </c>
      <c r="I25" s="151">
        <f>'Box Canon'!T20+'Box Canon'!T21</f>
        <v>600.51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44853</v>
      </c>
      <c r="B26" s="232" t="str">
        <f t="shared" si="0"/>
        <v>Wed</v>
      </c>
      <c r="C26" s="152">
        <v>541.76</v>
      </c>
      <c r="D26" s="58">
        <f>'Box Canon'!U18+'Box Canon'!U19</f>
        <v>482.01</v>
      </c>
      <c r="E26" s="21"/>
      <c r="F26" s="21"/>
      <c r="G26" s="151">
        <v>3093.6</v>
      </c>
      <c r="H26" s="153">
        <v>0</v>
      </c>
      <c r="I26" s="151">
        <f>'Box Canon'!U20+'Box Canon'!U21</f>
        <v>413.21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44854</v>
      </c>
      <c r="B27" s="232" t="str">
        <f t="shared" si="0"/>
        <v>Thu</v>
      </c>
      <c r="C27" s="152">
        <v>876.86</v>
      </c>
      <c r="D27" s="58">
        <f>'Box Canon'!V18+'Box Canon'!V19</f>
        <v>568.19000000000005</v>
      </c>
      <c r="E27" s="21"/>
      <c r="F27" s="21"/>
      <c r="G27" s="151">
        <v>3471.23</v>
      </c>
      <c r="H27" s="153">
        <v>0</v>
      </c>
      <c r="I27" s="151">
        <f>'Box Canon'!V20+'Box Canon'!V21</f>
        <v>528.01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44855</v>
      </c>
      <c r="B28" s="232" t="str">
        <f t="shared" si="0"/>
        <v>Fri</v>
      </c>
      <c r="C28" s="152">
        <v>1007.07</v>
      </c>
      <c r="D28" s="58">
        <f>'Box Canon'!W18+'Box Canon'!W19</f>
        <v>871.72</v>
      </c>
      <c r="E28" s="21"/>
      <c r="F28" s="21"/>
      <c r="G28" s="151">
        <v>5518.96</v>
      </c>
      <c r="H28" s="153">
        <v>0</v>
      </c>
      <c r="I28" s="151">
        <f>'Box Canon'!W20+'Box Canon'!W21</f>
        <v>805.77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44856</v>
      </c>
      <c r="B29" s="232" t="str">
        <f t="shared" si="0"/>
        <v>Sat</v>
      </c>
      <c r="C29" s="152">
        <v>1193.3399999999999</v>
      </c>
      <c r="D29" s="58">
        <f>'Box Canon'!X18+'Box Canon'!X19</f>
        <v>1084.96</v>
      </c>
      <c r="E29" s="21"/>
      <c r="F29" s="21"/>
      <c r="G29" s="151">
        <v>6705.45</v>
      </c>
      <c r="H29" s="153">
        <v>0</v>
      </c>
      <c r="I29" s="151">
        <f>'Box Canon'!X20+'Box Canon'!X21</f>
        <v>1101.08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44857</v>
      </c>
      <c r="B30" s="232" t="str">
        <f t="shared" si="0"/>
        <v>Sun</v>
      </c>
      <c r="C30" s="152">
        <v>184.2</v>
      </c>
      <c r="D30" s="58">
        <f>'Box Canon'!Y18+'Box Canon'!Y19</f>
        <v>256.63</v>
      </c>
      <c r="E30" s="21"/>
      <c r="F30" s="21"/>
      <c r="G30" s="151">
        <v>2345.9</v>
      </c>
      <c r="H30" s="153">
        <v>0</v>
      </c>
      <c r="I30" s="151">
        <f>'Box Canon'!Y20+'Box Canon'!Y21</f>
        <v>181.1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44858</v>
      </c>
      <c r="B31" s="232" t="str">
        <f t="shared" si="0"/>
        <v>Mon</v>
      </c>
      <c r="C31" s="152">
        <v>224.65</v>
      </c>
      <c r="D31" s="58">
        <f>'Box Canon'!Z18+'Box Canon'!Z19</f>
        <v>179.71</v>
      </c>
      <c r="E31" s="21"/>
      <c r="F31" s="21"/>
      <c r="G31" s="151">
        <v>2429.0500000000002</v>
      </c>
      <c r="H31" s="153">
        <v>0</v>
      </c>
      <c r="I31" s="151">
        <f>'Box Canon'!Z20+'Box Canon'!Z21</f>
        <v>227.68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44859</v>
      </c>
      <c r="B32" s="232" t="str">
        <f t="shared" si="0"/>
        <v>Tue</v>
      </c>
      <c r="C32" s="152">
        <v>177.6</v>
      </c>
      <c r="D32" s="58">
        <f>'Box Canon'!AA18+'Box Canon'!AA19</f>
        <v>170.31</v>
      </c>
      <c r="E32" s="21"/>
      <c r="F32" s="21"/>
      <c r="G32" s="151">
        <v>535.26</v>
      </c>
      <c r="H32" s="153">
        <v>0</v>
      </c>
      <c r="I32" s="151">
        <f>'Box Canon'!AA20+'Box Canon'!AA21</f>
        <v>182.77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44860</v>
      </c>
      <c r="B33" s="232" t="str">
        <f t="shared" si="0"/>
        <v>Wed</v>
      </c>
      <c r="C33" s="152">
        <v>261.45</v>
      </c>
      <c r="D33" s="58">
        <f>'Box Canon'!AB18+'Box Canon'!AB19</f>
        <v>78.02</v>
      </c>
      <c r="E33" s="21"/>
      <c r="F33" s="21"/>
      <c r="G33" s="151">
        <v>1279.67</v>
      </c>
      <c r="H33" s="153">
        <v>0</v>
      </c>
      <c r="I33" s="151">
        <f>'Box Canon'!AB20+'Box Canon'!AB21</f>
        <v>156.91999999999999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44861</v>
      </c>
      <c r="B34" s="232" t="str">
        <f t="shared" si="0"/>
        <v>Thu</v>
      </c>
      <c r="C34" s="152">
        <v>191.9</v>
      </c>
      <c r="D34" s="58">
        <f>'Box Canon'!AC18+'Box Canon'!AC19</f>
        <v>63.65</v>
      </c>
      <c r="E34" s="21"/>
      <c r="F34" s="21"/>
      <c r="G34" s="151">
        <v>1213.05</v>
      </c>
      <c r="H34" s="153">
        <v>0</v>
      </c>
      <c r="I34" s="151">
        <f>'Box Canon'!AC20+'Box Canon'!AC21</f>
        <v>26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44862</v>
      </c>
      <c r="B35" s="232" t="str">
        <f t="shared" si="0"/>
        <v>Fri</v>
      </c>
      <c r="C35" s="152">
        <v>245.46</v>
      </c>
      <c r="D35" s="58">
        <f>'Box Canon'!AD18+'Box Canon'!AD19</f>
        <v>280.85000000000002</v>
      </c>
      <c r="E35" s="21"/>
      <c r="F35" s="21"/>
      <c r="G35" s="151">
        <v>3629.97</v>
      </c>
      <c r="H35" s="153">
        <v>0</v>
      </c>
      <c r="I35" s="151">
        <f>'Box Canon'!AD20+'Box Canon'!AD21</f>
        <v>206.27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44863</v>
      </c>
      <c r="B36" s="232" t="str">
        <f t="shared" si="0"/>
        <v>Sat</v>
      </c>
      <c r="C36" s="152">
        <v>1251.02</v>
      </c>
      <c r="D36" s="58">
        <f>'Box Canon'!AE18+'Box Canon'!AE19</f>
        <v>324.85000000000002</v>
      </c>
      <c r="E36" s="42"/>
      <c r="F36" s="21"/>
      <c r="G36" s="151">
        <v>4063.18</v>
      </c>
      <c r="H36" s="153">
        <v>0</v>
      </c>
      <c r="I36" s="151">
        <f>'Box Canon'!AE20+'Box Canon'!AE21</f>
        <v>406.43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44864</v>
      </c>
      <c r="B37" s="232" t="str">
        <f t="shared" si="0"/>
        <v>Sun</v>
      </c>
      <c r="C37" s="152">
        <v>181.75</v>
      </c>
      <c r="D37" s="58">
        <f>'Box Canon'!AF18+'Box Canon'!AF19</f>
        <v>443.04</v>
      </c>
      <c r="E37" s="21"/>
      <c r="F37" s="21"/>
      <c r="G37" s="151">
        <v>2533.96</v>
      </c>
      <c r="H37" s="153">
        <v>0</v>
      </c>
      <c r="I37" s="151">
        <f>'Box Canon'!AF20+'Box Canon'!AF21</f>
        <v>467.46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44865</v>
      </c>
      <c r="B38" s="232" t="str">
        <f t="shared" si="0"/>
        <v>Mon</v>
      </c>
      <c r="C38" s="152">
        <v>157.75</v>
      </c>
      <c r="D38" s="58">
        <f>'Box Canon'!AG18+'Box Canon'!AG19</f>
        <v>0</v>
      </c>
      <c r="E38" s="21"/>
      <c r="F38" s="21"/>
      <c r="G38" s="151">
        <v>1252.0999999999999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27977.700000000004</v>
      </c>
      <c r="D40" s="171">
        <f t="shared" ref="D40:M40" si="2">SUM(D8:D39)</f>
        <v>21658.349999999995</v>
      </c>
      <c r="E40" s="172">
        <f t="shared" si="2"/>
        <v>0</v>
      </c>
      <c r="F40" s="172">
        <f t="shared" si="2"/>
        <v>0</v>
      </c>
      <c r="G40" s="171">
        <f>SUM(G8:G38)</f>
        <v>142623.82</v>
      </c>
      <c r="H40" s="171">
        <f>SUM(H8:H38)</f>
        <v>0</v>
      </c>
      <c r="I40" s="171">
        <f>SUM(I8:I38)</f>
        <v>25862.079999999994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218121.94999999998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49636.05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4"/>
  <sheetViews>
    <sheetView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N46" sqref="AN46"/>
    </sheetView>
  </sheetViews>
  <sheetFormatPr defaultColWidth="9.140625" defaultRowHeight="15.75" x14ac:dyDescent="0.25"/>
  <cols>
    <col min="1" max="1" width="10.42578125" style="59" bestFit="1" customWidth="1"/>
    <col min="2" max="2" width="33.85546875" style="60" bestFit="1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122</v>
      </c>
      <c r="B1" s="378" t="str">
        <f>'Cash Flow'!C1</f>
        <v>October</v>
      </c>
      <c r="C1" s="228" t="str">
        <f t="array" ref="C1:AG1">TRANSPOSE('Cash Flow'!B8:B38)</f>
        <v>Sat</v>
      </c>
      <c r="D1" s="228" t="str">
        <v>Sun</v>
      </c>
      <c r="E1" s="228" t="str">
        <v>Mon</v>
      </c>
      <c r="F1" s="228" t="str">
        <v>Tue</v>
      </c>
      <c r="G1" s="228" t="str">
        <v>Wed</v>
      </c>
      <c r="H1" s="228" t="str">
        <v>Thu</v>
      </c>
      <c r="I1" s="228" t="str">
        <v>Fri</v>
      </c>
      <c r="J1" s="228" t="str">
        <v>Sat</v>
      </c>
      <c r="K1" s="228" t="str">
        <v>Sun</v>
      </c>
      <c r="L1" s="228" t="str">
        <v>Mon</v>
      </c>
      <c r="M1" s="228" t="str">
        <v>Tue</v>
      </c>
      <c r="N1" s="228" t="str">
        <v>Wed</v>
      </c>
      <c r="O1" s="228" t="str">
        <v>Thu</v>
      </c>
      <c r="P1" s="228" t="str">
        <v>Fri</v>
      </c>
      <c r="Q1" s="228" t="str">
        <v>Sat</v>
      </c>
      <c r="R1" s="228" t="str">
        <v>Sun</v>
      </c>
      <c r="S1" s="228" t="str">
        <v>Mon</v>
      </c>
      <c r="T1" s="228" t="str">
        <v>Tue</v>
      </c>
      <c r="U1" s="228" t="str">
        <v>Wed</v>
      </c>
      <c r="V1" s="228" t="str">
        <v>Thu</v>
      </c>
      <c r="W1" s="228" t="str">
        <v>Fri</v>
      </c>
      <c r="X1" s="228" t="str">
        <v>Sat</v>
      </c>
      <c r="Y1" s="228" t="str">
        <v>Sun</v>
      </c>
      <c r="Z1" s="228" t="str">
        <v>Mon</v>
      </c>
      <c r="AA1" s="228" t="str">
        <v>Tue</v>
      </c>
      <c r="AB1" s="228" t="str">
        <v>Wed</v>
      </c>
      <c r="AC1" s="228" t="str">
        <v>Thu</v>
      </c>
      <c r="AD1" s="228" t="str">
        <v>Fri</v>
      </c>
      <c r="AE1" s="228" t="str">
        <v>Sat</v>
      </c>
      <c r="AF1" s="228" t="str">
        <v>Sun</v>
      </c>
      <c r="AG1" s="228" t="str">
        <v>Mon</v>
      </c>
    </row>
    <row r="2" spans="1:39" s="60" customFormat="1" ht="16.5" thickBot="1" x14ac:dyDescent="0.3">
      <c r="A2" s="63" t="s">
        <v>66</v>
      </c>
      <c r="B2" s="64" t="s">
        <v>131</v>
      </c>
      <c r="C2" s="106">
        <f>'Cash Flow'!A8</f>
        <v>44835</v>
      </c>
      <c r="D2" s="106">
        <f>C2+1</f>
        <v>44836</v>
      </c>
      <c r="E2" s="106">
        <f>D2+1</f>
        <v>44837</v>
      </c>
      <c r="F2" s="106">
        <f t="shared" ref="F2:AG2" si="0">E2+1</f>
        <v>44838</v>
      </c>
      <c r="G2" s="106">
        <f t="shared" si="0"/>
        <v>44839</v>
      </c>
      <c r="H2" s="106">
        <f t="shared" si="0"/>
        <v>44840</v>
      </c>
      <c r="I2" s="106">
        <f t="shared" si="0"/>
        <v>44841</v>
      </c>
      <c r="J2" s="106">
        <f t="shared" si="0"/>
        <v>44842</v>
      </c>
      <c r="K2" s="106">
        <f t="shared" si="0"/>
        <v>44843</v>
      </c>
      <c r="L2" s="106">
        <f t="shared" si="0"/>
        <v>44844</v>
      </c>
      <c r="M2" s="106">
        <f t="shared" si="0"/>
        <v>44845</v>
      </c>
      <c r="N2" s="106">
        <f t="shared" si="0"/>
        <v>44846</v>
      </c>
      <c r="O2" s="106">
        <f t="shared" si="0"/>
        <v>44847</v>
      </c>
      <c r="P2" s="106">
        <f t="shared" si="0"/>
        <v>44848</v>
      </c>
      <c r="Q2" s="106">
        <f t="shared" si="0"/>
        <v>44849</v>
      </c>
      <c r="R2" s="106">
        <f t="shared" si="0"/>
        <v>44850</v>
      </c>
      <c r="S2" s="106">
        <f t="shared" si="0"/>
        <v>44851</v>
      </c>
      <c r="T2" s="106">
        <f t="shared" si="0"/>
        <v>44852</v>
      </c>
      <c r="U2" s="106">
        <f t="shared" si="0"/>
        <v>44853</v>
      </c>
      <c r="V2" s="106">
        <f t="shared" si="0"/>
        <v>44854</v>
      </c>
      <c r="W2" s="106">
        <f t="shared" si="0"/>
        <v>44855</v>
      </c>
      <c r="X2" s="106">
        <f t="shared" si="0"/>
        <v>44856</v>
      </c>
      <c r="Y2" s="106">
        <f t="shared" si="0"/>
        <v>44857</v>
      </c>
      <c r="Z2" s="106">
        <f t="shared" si="0"/>
        <v>44858</v>
      </c>
      <c r="AA2" s="106">
        <f t="shared" si="0"/>
        <v>44859</v>
      </c>
      <c r="AB2" s="106">
        <f t="shared" si="0"/>
        <v>44860</v>
      </c>
      <c r="AC2" s="106">
        <f t="shared" si="0"/>
        <v>44861</v>
      </c>
      <c r="AD2" s="106">
        <f t="shared" si="0"/>
        <v>44862</v>
      </c>
      <c r="AE2" s="106">
        <f t="shared" si="0"/>
        <v>44863</v>
      </c>
      <c r="AF2" s="106">
        <f t="shared" si="0"/>
        <v>44864</v>
      </c>
      <c r="AG2" s="106">
        <f t="shared" si="0"/>
        <v>44865</v>
      </c>
      <c r="AH2" s="65" t="s">
        <v>59</v>
      </c>
      <c r="AI2" s="62"/>
      <c r="AJ2" s="63" t="s">
        <v>66</v>
      </c>
      <c r="AK2" s="64" t="s">
        <v>131</v>
      </c>
    </row>
    <row r="3" spans="1:39" x14ac:dyDescent="0.25">
      <c r="A3" s="66" t="s">
        <v>61</v>
      </c>
      <c r="B3" s="67" t="s">
        <v>62</v>
      </c>
      <c r="C3" s="68">
        <v>58.51</v>
      </c>
      <c r="D3" s="185">
        <v>24.81</v>
      </c>
      <c r="E3" s="185">
        <v>20.52</v>
      </c>
      <c r="F3" s="185">
        <v>31.95</v>
      </c>
      <c r="G3" s="185">
        <v>11.5</v>
      </c>
      <c r="H3" s="185">
        <v>25.31</v>
      </c>
      <c r="I3" s="185">
        <v>27.86</v>
      </c>
      <c r="J3" s="185">
        <v>70.260000000000005</v>
      </c>
      <c r="K3" s="185">
        <v>55.46</v>
      </c>
      <c r="L3" s="185">
        <v>24.14</v>
      </c>
      <c r="M3" s="185">
        <v>16.190000000000001</v>
      </c>
      <c r="N3" s="185">
        <v>24.22</v>
      </c>
      <c r="O3" s="185">
        <v>35.81</v>
      </c>
      <c r="P3" s="185">
        <v>40.549999999999997</v>
      </c>
      <c r="Q3" s="185">
        <v>52.2</v>
      </c>
      <c r="R3" s="185">
        <v>32.35</v>
      </c>
      <c r="S3" s="185">
        <v>33.11</v>
      </c>
      <c r="T3" s="185">
        <v>18.39</v>
      </c>
      <c r="U3" s="185">
        <v>22.53</v>
      </c>
      <c r="V3" s="185">
        <v>25.18</v>
      </c>
      <c r="W3" s="185">
        <v>34.770000000000003</v>
      </c>
      <c r="X3" s="185">
        <v>36.78</v>
      </c>
      <c r="Y3" s="185">
        <v>13.44</v>
      </c>
      <c r="Z3" s="185">
        <v>5.57</v>
      </c>
      <c r="AA3" s="185">
        <v>3.55</v>
      </c>
      <c r="AB3" s="185">
        <v>9.81</v>
      </c>
      <c r="AC3" s="185">
        <v>6.83</v>
      </c>
      <c r="AD3" s="185">
        <v>9.94</v>
      </c>
      <c r="AE3" s="185">
        <v>34.44</v>
      </c>
      <c r="AF3" s="185">
        <v>7.54</v>
      </c>
      <c r="AG3" s="185">
        <v>3.02</v>
      </c>
      <c r="AH3" s="108">
        <f>SUM(C3:AG3)</f>
        <v>816.54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31</v>
      </c>
      <c r="C4" s="71">
        <v>8853.2000000000007</v>
      </c>
      <c r="D4" s="72">
        <v>2617.4</v>
      </c>
      <c r="E4" s="71">
        <v>1746</v>
      </c>
      <c r="F4" s="71">
        <v>5250</v>
      </c>
      <c r="G4" s="71">
        <v>3851.4</v>
      </c>
      <c r="H4" s="71">
        <v>4634.2</v>
      </c>
      <c r="I4" s="71">
        <v>5059</v>
      </c>
      <c r="J4" s="71">
        <v>10764.4</v>
      </c>
      <c r="K4" s="71">
        <v>7903.6</v>
      </c>
      <c r="L4" s="71">
        <v>3465.4</v>
      </c>
      <c r="M4" s="71">
        <v>3732.4</v>
      </c>
      <c r="N4" s="71">
        <v>3092.6</v>
      </c>
      <c r="O4" s="71">
        <v>5529.6</v>
      </c>
      <c r="P4" s="71">
        <v>7250.2</v>
      </c>
      <c r="Q4" s="71">
        <v>10623.2</v>
      </c>
      <c r="R4" s="71">
        <v>5114.8</v>
      </c>
      <c r="S4" s="71">
        <v>2941.4</v>
      </c>
      <c r="T4" s="71">
        <v>768.5</v>
      </c>
      <c r="U4" s="71">
        <v>2148.4</v>
      </c>
      <c r="V4" s="71">
        <v>3469.4</v>
      </c>
      <c r="W4" s="71">
        <v>5064.6000000000004</v>
      </c>
      <c r="X4" s="71">
        <v>5930.6</v>
      </c>
      <c r="Y4" s="71">
        <v>1757.6</v>
      </c>
      <c r="Z4" s="71">
        <v>937.9</v>
      </c>
      <c r="AA4" s="71">
        <v>662.5</v>
      </c>
      <c r="AB4" s="71">
        <v>721.4</v>
      </c>
      <c r="AC4" s="71">
        <v>852</v>
      </c>
      <c r="AD4" s="71">
        <v>1950.2</v>
      </c>
      <c r="AE4" s="71">
        <v>4486.8</v>
      </c>
      <c r="AF4" s="71">
        <v>2387</v>
      </c>
      <c r="AG4" s="71">
        <v>600.6</v>
      </c>
      <c r="AH4" s="108">
        <f t="shared" ref="AH4:AH27" si="1">SUM(C4:AG4)</f>
        <v>124166.29999999999</v>
      </c>
      <c r="AJ4" s="69" t="s">
        <v>30</v>
      </c>
      <c r="AK4" s="70" t="s">
        <v>31</v>
      </c>
      <c r="AL4" s="210"/>
      <c r="AM4" s="210"/>
    </row>
    <row r="5" spans="1:39" x14ac:dyDescent="0.25">
      <c r="A5" s="69" t="s">
        <v>177</v>
      </c>
      <c r="B5" s="70" t="s">
        <v>200</v>
      </c>
      <c r="C5" s="71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108">
        <f t="shared" si="1"/>
        <v>0</v>
      </c>
      <c r="AJ5" s="69" t="s">
        <v>177</v>
      </c>
      <c r="AK5" s="70" t="s">
        <v>63</v>
      </c>
      <c r="AM5" s="210"/>
    </row>
    <row r="6" spans="1:39" hidden="1" x14ac:dyDescent="0.25">
      <c r="A6" s="370" t="s">
        <v>153</v>
      </c>
      <c r="B6" s="371" t="s">
        <v>154</v>
      </c>
      <c r="C6" s="372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3"/>
      <c r="AG6" s="373"/>
      <c r="AH6" s="374">
        <f>SUM(C6:AG6)</f>
        <v>0</v>
      </c>
      <c r="AI6" s="375"/>
      <c r="AJ6" s="370" t="s">
        <v>153</v>
      </c>
      <c r="AK6" s="371" t="s">
        <v>154</v>
      </c>
      <c r="AM6" s="210"/>
    </row>
    <row r="7" spans="1:39" x14ac:dyDescent="0.25">
      <c r="A7" s="370" t="s">
        <v>155</v>
      </c>
      <c r="B7" s="371" t="s">
        <v>196</v>
      </c>
      <c r="C7" s="372"/>
      <c r="D7" s="373">
        <v>105</v>
      </c>
      <c r="E7" s="373">
        <v>70</v>
      </c>
      <c r="F7" s="373">
        <v>1390</v>
      </c>
      <c r="G7" s="373">
        <v>145</v>
      </c>
      <c r="H7" s="373">
        <v>845</v>
      </c>
      <c r="I7" s="373">
        <v>142.5</v>
      </c>
      <c r="J7" s="373"/>
      <c r="K7" s="373">
        <v>110</v>
      </c>
      <c r="L7" s="373">
        <v>430</v>
      </c>
      <c r="M7" s="373">
        <v>380</v>
      </c>
      <c r="N7" s="373">
        <v>515</v>
      </c>
      <c r="O7" s="373"/>
      <c r="P7" s="373">
        <v>950</v>
      </c>
      <c r="Q7" s="373"/>
      <c r="R7" s="373"/>
      <c r="S7" s="373">
        <f>990+165</f>
        <v>1155</v>
      </c>
      <c r="T7" s="373"/>
      <c r="U7" s="373">
        <f>395+75</f>
        <v>470</v>
      </c>
      <c r="V7" s="373">
        <v>50</v>
      </c>
      <c r="W7" s="373">
        <v>187.5</v>
      </c>
      <c r="X7" s="373">
        <v>215</v>
      </c>
      <c r="Y7" s="373">
        <v>260</v>
      </c>
      <c r="Z7" s="373">
        <v>1285</v>
      </c>
      <c r="AA7" s="373"/>
      <c r="AB7" s="373">
        <v>175</v>
      </c>
      <c r="AC7" s="373">
        <v>175</v>
      </c>
      <c r="AD7" s="373">
        <v>905</v>
      </c>
      <c r="AE7" s="373"/>
      <c r="AF7" s="373"/>
      <c r="AG7" s="373">
        <v>595</v>
      </c>
      <c r="AH7" s="374">
        <f>SUM(C7:AG7)</f>
        <v>10555</v>
      </c>
      <c r="AI7" s="375"/>
      <c r="AJ7" s="370" t="s">
        <v>155</v>
      </c>
      <c r="AK7" s="371" t="s">
        <v>196</v>
      </c>
      <c r="AM7" s="210"/>
    </row>
    <row r="8" spans="1:39" x14ac:dyDescent="0.25">
      <c r="A8" s="370" t="s">
        <v>155</v>
      </c>
      <c r="B8" s="371" t="s">
        <v>235</v>
      </c>
      <c r="C8" s="372">
        <v>944</v>
      </c>
      <c r="D8" s="373">
        <v>720</v>
      </c>
      <c r="E8" s="373">
        <v>912</v>
      </c>
      <c r="F8" s="373">
        <v>584</v>
      </c>
      <c r="G8" s="373">
        <v>360</v>
      </c>
      <c r="H8" s="373">
        <v>480</v>
      </c>
      <c r="I8" s="373">
        <v>688</v>
      </c>
      <c r="J8" s="373">
        <v>1200</v>
      </c>
      <c r="K8" s="373">
        <v>720</v>
      </c>
      <c r="L8" s="373">
        <v>1320</v>
      </c>
      <c r="M8" s="373">
        <v>704</v>
      </c>
      <c r="N8" s="373">
        <v>480</v>
      </c>
      <c r="O8" s="373">
        <v>944</v>
      </c>
      <c r="P8" s="373">
        <v>1544</v>
      </c>
      <c r="Q8" s="373">
        <v>2368</v>
      </c>
      <c r="R8" s="373">
        <v>960</v>
      </c>
      <c r="S8" s="373">
        <v>704</v>
      </c>
      <c r="T8" s="373">
        <v>224</v>
      </c>
      <c r="U8" s="373">
        <v>584</v>
      </c>
      <c r="V8" s="373">
        <v>480</v>
      </c>
      <c r="W8" s="373">
        <v>704</v>
      </c>
      <c r="X8" s="373">
        <v>1304</v>
      </c>
      <c r="Y8" s="373">
        <v>360</v>
      </c>
      <c r="Z8" s="373">
        <v>120</v>
      </c>
      <c r="AA8" s="373"/>
      <c r="AB8" s="373">
        <v>344</v>
      </c>
      <c r="AC8" s="373">
        <v>120</v>
      </c>
      <c r="AD8" s="373">
        <v>464</v>
      </c>
      <c r="AE8" s="373">
        <v>480</v>
      </c>
      <c r="AF8" s="373">
        <v>240</v>
      </c>
      <c r="AG8" s="373">
        <v>120</v>
      </c>
      <c r="AH8" s="374">
        <f>SUM(C8:AG8)</f>
        <v>21176</v>
      </c>
      <c r="AI8" s="375"/>
      <c r="AJ8" s="370" t="s">
        <v>155</v>
      </c>
      <c r="AK8" s="371" t="s">
        <v>235</v>
      </c>
      <c r="AM8" s="210"/>
    </row>
    <row r="9" spans="1:39" x14ac:dyDescent="0.25">
      <c r="A9" s="370" t="s">
        <v>160</v>
      </c>
      <c r="B9" s="371" t="s">
        <v>161</v>
      </c>
      <c r="C9" s="372"/>
      <c r="D9" s="373"/>
      <c r="E9" s="373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3"/>
      <c r="W9" s="373"/>
      <c r="X9" s="373"/>
      <c r="Y9" s="373"/>
      <c r="Z9" s="373"/>
      <c r="AA9" s="373"/>
      <c r="AB9" s="373"/>
      <c r="AC9" s="373"/>
      <c r="AD9" s="373"/>
      <c r="AE9" s="373"/>
      <c r="AF9" s="373"/>
      <c r="AG9" s="373"/>
      <c r="AH9" s="374">
        <f t="shared" ref="AH9:AH13" si="2">SUM(C9:AG9)</f>
        <v>0</v>
      </c>
      <c r="AI9" s="375"/>
      <c r="AJ9" s="370" t="s">
        <v>160</v>
      </c>
      <c r="AK9" s="371" t="s">
        <v>161</v>
      </c>
      <c r="AM9" s="210"/>
    </row>
    <row r="10" spans="1:39" x14ac:dyDescent="0.25">
      <c r="A10" s="370" t="s">
        <v>162</v>
      </c>
      <c r="B10" s="371" t="s">
        <v>163</v>
      </c>
      <c r="C10" s="372"/>
      <c r="D10" s="373"/>
      <c r="E10" s="373"/>
      <c r="F10" s="373">
        <v>2</v>
      </c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  <c r="X10" s="373"/>
      <c r="Y10" s="373"/>
      <c r="Z10" s="373">
        <v>4</v>
      </c>
      <c r="AA10" s="373"/>
      <c r="AB10" s="373"/>
      <c r="AC10" s="373"/>
      <c r="AD10" s="373"/>
      <c r="AE10" s="373"/>
      <c r="AF10" s="373"/>
      <c r="AG10" s="373"/>
      <c r="AH10" s="374">
        <f t="shared" si="2"/>
        <v>6</v>
      </c>
      <c r="AI10" s="375"/>
      <c r="AJ10" s="370" t="s">
        <v>162</v>
      </c>
      <c r="AK10" s="371" t="s">
        <v>163</v>
      </c>
      <c r="AM10" s="210"/>
    </row>
    <row r="11" spans="1:39" hidden="1" x14ac:dyDescent="0.25">
      <c r="A11" s="370" t="s">
        <v>156</v>
      </c>
      <c r="B11" s="371" t="s">
        <v>157</v>
      </c>
      <c r="C11" s="372"/>
      <c r="D11" s="373"/>
      <c r="E11" s="373"/>
      <c r="F11" s="373"/>
      <c r="G11" s="373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  <c r="X11" s="373"/>
      <c r="Y11" s="373"/>
      <c r="Z11" s="373"/>
      <c r="AA11" s="373"/>
      <c r="AB11" s="373"/>
      <c r="AC11" s="373"/>
      <c r="AD11" s="373"/>
      <c r="AE11" s="373"/>
      <c r="AF11" s="373"/>
      <c r="AG11" s="373"/>
      <c r="AH11" s="374">
        <f t="shared" si="2"/>
        <v>0</v>
      </c>
      <c r="AI11" s="375"/>
      <c r="AJ11" s="370" t="s">
        <v>156</v>
      </c>
      <c r="AK11" s="371" t="s">
        <v>157</v>
      </c>
      <c r="AM11" s="210"/>
    </row>
    <row r="12" spans="1:39" hidden="1" x14ac:dyDescent="0.25">
      <c r="A12" s="370" t="s">
        <v>167</v>
      </c>
      <c r="B12" s="371" t="s">
        <v>168</v>
      </c>
      <c r="C12" s="372"/>
      <c r="D12" s="373"/>
      <c r="E12" s="373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  <c r="X12" s="373"/>
      <c r="Y12" s="373"/>
      <c r="Z12" s="373"/>
      <c r="AA12" s="373"/>
      <c r="AB12" s="373"/>
      <c r="AC12" s="373"/>
      <c r="AD12" s="373"/>
      <c r="AE12" s="373"/>
      <c r="AF12" s="373"/>
      <c r="AG12" s="373"/>
      <c r="AH12" s="374">
        <f t="shared" si="2"/>
        <v>0</v>
      </c>
      <c r="AI12" s="375"/>
      <c r="AJ12" s="370" t="s">
        <v>167</v>
      </c>
      <c r="AK12" s="371" t="s">
        <v>168</v>
      </c>
      <c r="AM12" s="210"/>
    </row>
    <row r="13" spans="1:39" hidden="1" x14ac:dyDescent="0.25">
      <c r="A13" s="370" t="s">
        <v>169</v>
      </c>
      <c r="B13" s="371" t="s">
        <v>170</v>
      </c>
      <c r="C13" s="372"/>
      <c r="D13" s="373"/>
      <c r="E13" s="373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3"/>
      <c r="AH13" s="374">
        <f t="shared" si="2"/>
        <v>0</v>
      </c>
      <c r="AI13" s="375"/>
      <c r="AJ13" s="370" t="s">
        <v>169</v>
      </c>
      <c r="AK13" s="371" t="s">
        <v>170</v>
      </c>
      <c r="AM13" s="210"/>
    </row>
    <row r="14" spans="1:39" x14ac:dyDescent="0.25">
      <c r="A14" s="69" t="s">
        <v>34</v>
      </c>
      <c r="B14" s="70" t="s">
        <v>35</v>
      </c>
      <c r="C14" s="71">
        <v>24</v>
      </c>
      <c r="D14" s="72">
        <v>8</v>
      </c>
      <c r="E14" s="72">
        <v>4</v>
      </c>
      <c r="F14" s="72">
        <v>106</v>
      </c>
      <c r="G14" s="72">
        <v>16</v>
      </c>
      <c r="H14" s="72">
        <v>65</v>
      </c>
      <c r="I14" s="72">
        <v>12</v>
      </c>
      <c r="J14" s="72">
        <v>16</v>
      </c>
      <c r="K14" s="72">
        <v>28</v>
      </c>
      <c r="L14" s="72">
        <v>176</v>
      </c>
      <c r="M14" s="72">
        <v>26</v>
      </c>
      <c r="N14" s="72">
        <v>77</v>
      </c>
      <c r="O14" s="72">
        <v>28</v>
      </c>
      <c r="P14" s="72">
        <v>94</v>
      </c>
      <c r="Q14" s="72">
        <v>20</v>
      </c>
      <c r="R14" s="72">
        <v>20</v>
      </c>
      <c r="S14" s="72">
        <v>142</v>
      </c>
      <c r="T14" s="72"/>
      <c r="U14" s="72">
        <v>23</v>
      </c>
      <c r="V14" s="72"/>
      <c r="W14" s="72">
        <v>30</v>
      </c>
      <c r="X14" s="72">
        <v>8</v>
      </c>
      <c r="Y14" s="72"/>
      <c r="Z14" s="72">
        <v>61</v>
      </c>
      <c r="AA14" s="72"/>
      <c r="AB14" s="72"/>
      <c r="AC14" s="72">
        <v>32</v>
      </c>
      <c r="AD14" s="72">
        <v>19</v>
      </c>
      <c r="AE14" s="72"/>
      <c r="AF14" s="72"/>
      <c r="AG14" s="72">
        <v>45</v>
      </c>
      <c r="AH14" s="108">
        <f t="shared" si="1"/>
        <v>1080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>
        <v>608.04</v>
      </c>
      <c r="D15" s="72">
        <v>249.5</v>
      </c>
      <c r="E15" s="72">
        <v>208.18</v>
      </c>
      <c r="F15" s="72">
        <v>333.57</v>
      </c>
      <c r="G15" s="72">
        <v>125.77</v>
      </c>
      <c r="H15" s="72">
        <v>260.57</v>
      </c>
      <c r="I15" s="72">
        <v>295.36</v>
      </c>
      <c r="J15" s="72">
        <v>743.25</v>
      </c>
      <c r="K15" s="72">
        <v>586.22</v>
      </c>
      <c r="L15" s="72">
        <v>244.13</v>
      </c>
      <c r="M15" s="72">
        <v>170.08</v>
      </c>
      <c r="N15" s="72">
        <f>257.15+3.25</f>
        <v>260.39999999999998</v>
      </c>
      <c r="O15" s="72">
        <f>381.42+12.25</f>
        <v>393.67</v>
      </c>
      <c r="P15" s="72">
        <f>428.89+8</f>
        <v>436.89</v>
      </c>
      <c r="Q15" s="72">
        <f>555.58+21.5</f>
        <v>577.08000000000004</v>
      </c>
      <c r="R15" s="72">
        <f>343.6+13</f>
        <v>356.6</v>
      </c>
      <c r="S15" s="72">
        <f>350.65+7.5</f>
        <v>358.15</v>
      </c>
      <c r="T15" s="72">
        <f>194.52+26.5</f>
        <v>221.02</v>
      </c>
      <c r="U15" s="72">
        <f>240.68+11.75</f>
        <v>252.43</v>
      </c>
      <c r="V15" s="72">
        <f>269.26+14.25</f>
        <v>283.51</v>
      </c>
      <c r="W15" s="72">
        <f>368.17+6.25</f>
        <v>374.42</v>
      </c>
      <c r="X15" s="72">
        <f>391.67+12.75</f>
        <v>404.42</v>
      </c>
      <c r="Y15" s="72">
        <f>142.84+8</f>
        <v>150.84</v>
      </c>
      <c r="Z15" s="72">
        <f>59.73+3.75</f>
        <v>63.48</v>
      </c>
      <c r="AA15" s="72">
        <f>37.48+8</f>
        <v>45.48</v>
      </c>
      <c r="AB15" s="72">
        <f>104.21+11</f>
        <v>115.21</v>
      </c>
      <c r="AC15" s="72">
        <f>72.44+4</f>
        <v>76.44</v>
      </c>
      <c r="AD15" s="72">
        <f>105.05+12.25</f>
        <v>117.3</v>
      </c>
      <c r="AE15" s="72">
        <f>364.46+6.75</f>
        <v>371.21</v>
      </c>
      <c r="AF15" s="72">
        <v>79.540000000000006</v>
      </c>
      <c r="AG15" s="72">
        <f>31.98+12.5</f>
        <v>44.480000000000004</v>
      </c>
      <c r="AH15" s="108">
        <f t="shared" si="1"/>
        <v>8807.24</v>
      </c>
      <c r="AJ15" s="69" t="s">
        <v>36</v>
      </c>
      <c r="AK15" s="70" t="s">
        <v>37</v>
      </c>
    </row>
    <row r="16" spans="1:39" hidden="1" x14ac:dyDescent="0.25">
      <c r="A16" s="69" t="s">
        <v>201</v>
      </c>
      <c r="B16" s="70" t="s">
        <v>112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111</v>
      </c>
      <c r="AK16" s="70" t="s">
        <v>112</v>
      </c>
    </row>
    <row r="17" spans="1:39" x14ac:dyDescent="0.25">
      <c r="A17" s="69" t="s">
        <v>77</v>
      </c>
      <c r="B17" s="70" t="s">
        <v>197</v>
      </c>
      <c r="C17" s="71"/>
      <c r="D17" s="72">
        <v>105</v>
      </c>
      <c r="E17" s="72">
        <v>187</v>
      </c>
      <c r="F17" s="72">
        <v>80</v>
      </c>
      <c r="G17" s="72">
        <v>145</v>
      </c>
      <c r="H17" s="72">
        <v>415</v>
      </c>
      <c r="I17" s="72">
        <v>197.5</v>
      </c>
      <c r="J17" s="72">
        <v>16</v>
      </c>
      <c r="K17" s="72">
        <v>110</v>
      </c>
      <c r="L17" s="72"/>
      <c r="M17" s="72"/>
      <c r="N17" s="72">
        <v>282</v>
      </c>
      <c r="O17" s="72">
        <v>16</v>
      </c>
      <c r="P17" s="72"/>
      <c r="Q17" s="72"/>
      <c r="R17" s="72">
        <v>16</v>
      </c>
      <c r="S17" s="72">
        <v>310</v>
      </c>
      <c r="T17" s="72"/>
      <c r="U17" s="72">
        <v>135</v>
      </c>
      <c r="V17" s="72"/>
      <c r="W17" s="72">
        <v>132.5</v>
      </c>
      <c r="X17" s="72"/>
      <c r="Y17" s="72"/>
      <c r="Z17" s="72">
        <v>167</v>
      </c>
      <c r="AA17" s="72"/>
      <c r="AB17" s="72">
        <v>175</v>
      </c>
      <c r="AC17" s="72">
        <v>175</v>
      </c>
      <c r="AD17" s="72">
        <v>405</v>
      </c>
      <c r="AE17" s="72"/>
      <c r="AF17" s="72"/>
      <c r="AG17" s="72"/>
      <c r="AH17" s="108">
        <f t="shared" si="1"/>
        <v>3069</v>
      </c>
      <c r="AJ17" s="69" t="s">
        <v>240</v>
      </c>
      <c r="AK17" s="70" t="s">
        <v>78</v>
      </c>
      <c r="AL17" s="210"/>
    </row>
    <row r="18" spans="1:39" hidden="1" x14ac:dyDescent="0.25">
      <c r="A18" s="69" t="s">
        <v>38</v>
      </c>
      <c r="B18" s="70" t="s">
        <v>39</v>
      </c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108">
        <f t="shared" si="1"/>
        <v>0</v>
      </c>
      <c r="AJ18" s="69" t="s">
        <v>38</v>
      </c>
      <c r="AK18" s="70" t="s">
        <v>39</v>
      </c>
    </row>
    <row r="19" spans="1:39" x14ac:dyDescent="0.25">
      <c r="A19" s="370" t="s">
        <v>164</v>
      </c>
      <c r="B19" s="371" t="s">
        <v>165</v>
      </c>
      <c r="C19" s="372"/>
      <c r="D19" s="373"/>
      <c r="E19" s="373">
        <v>315</v>
      </c>
      <c r="F19" s="373">
        <v>90</v>
      </c>
      <c r="G19" s="373">
        <v>45</v>
      </c>
      <c r="H19" s="373"/>
      <c r="I19" s="373">
        <v>45</v>
      </c>
      <c r="J19" s="373"/>
      <c r="K19" s="373"/>
      <c r="L19" s="373"/>
      <c r="M19" s="373"/>
      <c r="N19" s="373"/>
      <c r="O19" s="373"/>
      <c r="P19" s="373"/>
      <c r="Q19" s="373"/>
      <c r="R19" s="373"/>
      <c r="S19" s="373">
        <v>90</v>
      </c>
      <c r="T19" s="373">
        <v>270</v>
      </c>
      <c r="U19" s="373"/>
      <c r="V19" s="373"/>
      <c r="W19" s="373"/>
      <c r="X19" s="373"/>
      <c r="Y19" s="373"/>
      <c r="Z19" s="373"/>
      <c r="AA19" s="373"/>
      <c r="AB19" s="373"/>
      <c r="AC19" s="373"/>
      <c r="AD19" s="373"/>
      <c r="AE19" s="373"/>
      <c r="AF19" s="373"/>
      <c r="AG19" s="373"/>
      <c r="AH19" s="374">
        <f t="shared" si="1"/>
        <v>855</v>
      </c>
      <c r="AI19" s="375"/>
      <c r="AJ19" s="370" t="s">
        <v>164</v>
      </c>
      <c r="AK19" s="371" t="s">
        <v>166</v>
      </c>
    </row>
    <row r="20" spans="1:39" x14ac:dyDescent="0.25">
      <c r="A20" s="69" t="s">
        <v>40</v>
      </c>
      <c r="B20" s="70" t="s">
        <v>41</v>
      </c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108">
        <f t="shared" si="1"/>
        <v>0</v>
      </c>
      <c r="AJ20" s="69" t="s">
        <v>40</v>
      </c>
      <c r="AK20" s="70" t="s">
        <v>41</v>
      </c>
    </row>
    <row r="21" spans="1:39" hidden="1" x14ac:dyDescent="0.25">
      <c r="A21" s="69" t="s">
        <v>42</v>
      </c>
      <c r="B21" s="70" t="s">
        <v>43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108">
        <f t="shared" si="1"/>
        <v>0</v>
      </c>
      <c r="AJ21" s="69" t="s">
        <v>42</v>
      </c>
      <c r="AK21" s="70" t="s">
        <v>43</v>
      </c>
    </row>
    <row r="22" spans="1:39" hidden="1" x14ac:dyDescent="0.25">
      <c r="A22" s="69" t="s">
        <v>44</v>
      </c>
      <c r="B22" s="70" t="s">
        <v>45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44</v>
      </c>
      <c r="AK22" s="70" t="s">
        <v>45</v>
      </c>
    </row>
    <row r="23" spans="1:39" hidden="1" x14ac:dyDescent="0.25">
      <c r="A23" s="69" t="s">
        <v>46</v>
      </c>
      <c r="B23" s="70" t="s">
        <v>47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46</v>
      </c>
      <c r="AK23" s="70" t="s">
        <v>47</v>
      </c>
    </row>
    <row r="24" spans="1:39" hidden="1" x14ac:dyDescent="0.25">
      <c r="A24" s="69" t="s">
        <v>48</v>
      </c>
      <c r="B24" s="70" t="s">
        <v>49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48</v>
      </c>
      <c r="AK24" s="70" t="s">
        <v>49</v>
      </c>
      <c r="AM24" s="210"/>
    </row>
    <row r="25" spans="1:39" hidden="1" x14ac:dyDescent="0.25">
      <c r="A25" s="69" t="s">
        <v>50</v>
      </c>
      <c r="B25" s="70" t="s">
        <v>51</v>
      </c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108">
        <f t="shared" si="1"/>
        <v>0</v>
      </c>
      <c r="AJ25" s="69" t="s">
        <v>50</v>
      </c>
      <c r="AK25" s="70" t="s">
        <v>51</v>
      </c>
    </row>
    <row r="26" spans="1:39" hidden="1" x14ac:dyDescent="0.25">
      <c r="A26" s="69" t="s">
        <v>52</v>
      </c>
      <c r="B26" s="70" t="s">
        <v>53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75" t="s">
        <v>52</v>
      </c>
      <c r="AK26" s="76" t="s">
        <v>53</v>
      </c>
    </row>
    <row r="27" spans="1:39" ht="16.5" thickBot="1" x14ac:dyDescent="0.3">
      <c r="A27" s="77" t="s">
        <v>110</v>
      </c>
      <c r="B27" s="78" t="s">
        <v>86</v>
      </c>
      <c r="C27" s="79"/>
      <c r="D27" s="80"/>
      <c r="E27" s="80"/>
      <c r="F27" s="80">
        <v>84</v>
      </c>
      <c r="G27" s="80"/>
      <c r="H27" s="80">
        <v>42</v>
      </c>
      <c r="I27" s="80"/>
      <c r="J27" s="80"/>
      <c r="K27" s="80"/>
      <c r="L27" s="80"/>
      <c r="M27" s="80"/>
      <c r="N27" s="80"/>
      <c r="O27" s="80"/>
      <c r="P27" s="80">
        <v>32</v>
      </c>
      <c r="Q27" s="80"/>
      <c r="R27" s="80"/>
      <c r="S27" s="80"/>
      <c r="T27" s="80"/>
      <c r="U27" s="80"/>
      <c r="V27" s="80">
        <v>40</v>
      </c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108">
        <f t="shared" si="1"/>
        <v>198</v>
      </c>
      <c r="AJ27" s="81" t="s">
        <v>110</v>
      </c>
      <c r="AK27" s="82" t="s">
        <v>86</v>
      </c>
      <c r="AL27" s="210"/>
    </row>
    <row r="28" spans="1:39" s="60" customFormat="1" ht="13.5" thickBot="1" x14ac:dyDescent="0.25">
      <c r="A28" s="199"/>
      <c r="B28" s="84" t="s">
        <v>64</v>
      </c>
      <c r="C28" s="107">
        <f t="shared" ref="C28:AG28" si="3">SUM(C3:C27)</f>
        <v>10487.75</v>
      </c>
      <c r="D28" s="107">
        <f t="shared" si="3"/>
        <v>3829.71</v>
      </c>
      <c r="E28" s="107">
        <f t="shared" si="3"/>
        <v>3462.7</v>
      </c>
      <c r="F28" s="107">
        <f t="shared" si="3"/>
        <v>7951.5199999999995</v>
      </c>
      <c r="G28" s="107">
        <f t="shared" si="3"/>
        <v>4699.67</v>
      </c>
      <c r="H28" s="107">
        <f t="shared" si="3"/>
        <v>6767.08</v>
      </c>
      <c r="I28" s="107">
        <f t="shared" si="3"/>
        <v>6467.2199999999993</v>
      </c>
      <c r="J28" s="107">
        <f t="shared" si="3"/>
        <v>12809.91</v>
      </c>
      <c r="K28" s="107">
        <f t="shared" si="3"/>
        <v>9513.2800000000007</v>
      </c>
      <c r="L28" s="107">
        <f t="shared" si="3"/>
        <v>5659.67</v>
      </c>
      <c r="M28" s="107">
        <f t="shared" si="3"/>
        <v>5028.67</v>
      </c>
      <c r="N28" s="107">
        <f t="shared" si="3"/>
        <v>4731.2199999999993</v>
      </c>
      <c r="O28" s="107">
        <f t="shared" si="3"/>
        <v>6947.0800000000008</v>
      </c>
      <c r="P28" s="107">
        <f t="shared" si="3"/>
        <v>10347.64</v>
      </c>
      <c r="Q28" s="107">
        <f t="shared" si="3"/>
        <v>13640.480000000001</v>
      </c>
      <c r="R28" s="107">
        <f t="shared" si="3"/>
        <v>6499.7500000000009</v>
      </c>
      <c r="S28" s="107">
        <f t="shared" si="3"/>
        <v>5733.66</v>
      </c>
      <c r="T28" s="107">
        <f t="shared" si="3"/>
        <v>1501.91</v>
      </c>
      <c r="U28" s="107">
        <f t="shared" si="3"/>
        <v>3635.36</v>
      </c>
      <c r="V28" s="107">
        <f t="shared" si="3"/>
        <v>4348.09</v>
      </c>
      <c r="W28" s="107">
        <f t="shared" si="3"/>
        <v>6527.7900000000009</v>
      </c>
      <c r="X28" s="107">
        <f t="shared" si="3"/>
        <v>7898.8</v>
      </c>
      <c r="Y28" s="107">
        <f t="shared" si="3"/>
        <v>2541.88</v>
      </c>
      <c r="Z28" s="107">
        <f t="shared" si="3"/>
        <v>2643.9500000000003</v>
      </c>
      <c r="AA28" s="107">
        <f t="shared" si="3"/>
        <v>711.53</v>
      </c>
      <c r="AB28" s="107">
        <f t="shared" si="3"/>
        <v>1540.42</v>
      </c>
      <c r="AC28" s="107">
        <f t="shared" si="3"/>
        <v>1437.27</v>
      </c>
      <c r="AD28" s="107">
        <f t="shared" si="3"/>
        <v>3870.4400000000005</v>
      </c>
      <c r="AE28" s="107">
        <f t="shared" si="3"/>
        <v>5372.45</v>
      </c>
      <c r="AF28" s="107">
        <f t="shared" si="3"/>
        <v>2714.08</v>
      </c>
      <c r="AG28" s="107">
        <f t="shared" si="3"/>
        <v>1408.1</v>
      </c>
      <c r="AH28" s="109">
        <f>SUM(C3:AG27)</f>
        <v>170729.08000000002</v>
      </c>
      <c r="AI28" s="85"/>
      <c r="AJ28" s="275"/>
      <c r="AK28" s="276" t="s">
        <v>64</v>
      </c>
    </row>
    <row r="29" spans="1:39" s="60" customFormat="1" ht="13.5" thickBot="1" x14ac:dyDescent="0.25">
      <c r="A29" s="200"/>
      <c r="B29" s="91" t="s">
        <v>105</v>
      </c>
      <c r="C29" s="72">
        <v>10487.75</v>
      </c>
      <c r="D29" s="72">
        <v>3829.71</v>
      </c>
      <c r="E29" s="72">
        <v>3462.7</v>
      </c>
      <c r="F29" s="72">
        <v>7951.52</v>
      </c>
      <c r="G29" s="72">
        <v>4699.67</v>
      </c>
      <c r="H29" s="72">
        <v>6767.08</v>
      </c>
      <c r="I29" s="72">
        <v>6467.22</v>
      </c>
      <c r="J29" s="72">
        <v>12809.91</v>
      </c>
      <c r="K29" s="72">
        <v>9513.2800000000007</v>
      </c>
      <c r="L29" s="72">
        <v>6059.67</v>
      </c>
      <c r="M29" s="72">
        <v>5028.67</v>
      </c>
      <c r="N29" s="72">
        <v>4731.22</v>
      </c>
      <c r="O29" s="72">
        <v>6947.08</v>
      </c>
      <c r="P29" s="72">
        <v>10347.64</v>
      </c>
      <c r="Q29" s="72">
        <v>13640.48</v>
      </c>
      <c r="R29" s="72">
        <v>6499.75</v>
      </c>
      <c r="S29" s="72">
        <v>5733.66</v>
      </c>
      <c r="T29" s="72">
        <v>1501.91</v>
      </c>
      <c r="U29" s="72">
        <v>3635.36</v>
      </c>
      <c r="V29" s="72">
        <v>4348.09</v>
      </c>
      <c r="W29" s="72">
        <v>6527.79</v>
      </c>
      <c r="X29" s="72">
        <v>7898.8</v>
      </c>
      <c r="Y29" s="72">
        <v>2541.88</v>
      </c>
      <c r="Z29" s="72">
        <v>2643.95</v>
      </c>
      <c r="AA29" s="72">
        <v>711.53</v>
      </c>
      <c r="AB29" s="72">
        <v>1540.42</v>
      </c>
      <c r="AC29" s="72">
        <v>1437.27</v>
      </c>
      <c r="AD29" s="72">
        <v>3870.44</v>
      </c>
      <c r="AE29" s="72">
        <v>5372.45</v>
      </c>
      <c r="AF29" s="72">
        <v>2714.08</v>
      </c>
      <c r="AG29" s="72">
        <v>1408.1</v>
      </c>
      <c r="AH29" s="191">
        <f>SUM(C29:AG29)</f>
        <v>171129.08000000002</v>
      </c>
      <c r="AI29" s="85"/>
      <c r="AJ29" s="190"/>
      <c r="AK29" s="190"/>
    </row>
    <row r="30" spans="1:39" s="60" customFormat="1" thickBot="1" x14ac:dyDescent="0.3">
      <c r="A30" s="201"/>
      <c r="B30" s="104" t="s">
        <v>104</v>
      </c>
      <c r="C30" s="133">
        <f t="shared" ref="C30:AH30" si="4">C28-C29</f>
        <v>0</v>
      </c>
      <c r="D30" s="133">
        <f t="shared" si="4"/>
        <v>0</v>
      </c>
      <c r="E30" s="133">
        <f t="shared" si="4"/>
        <v>0</v>
      </c>
      <c r="F30" s="133">
        <f t="shared" si="4"/>
        <v>0</v>
      </c>
      <c r="G30" s="133">
        <f t="shared" si="4"/>
        <v>0</v>
      </c>
      <c r="H30" s="133">
        <f t="shared" si="4"/>
        <v>0</v>
      </c>
      <c r="I30" s="133">
        <f t="shared" si="4"/>
        <v>0</v>
      </c>
      <c r="J30" s="133">
        <f t="shared" si="4"/>
        <v>0</v>
      </c>
      <c r="K30" s="133">
        <f t="shared" si="4"/>
        <v>0</v>
      </c>
      <c r="L30" s="133">
        <f t="shared" si="4"/>
        <v>-400</v>
      </c>
      <c r="M30" s="133">
        <f t="shared" si="4"/>
        <v>0</v>
      </c>
      <c r="N30" s="133">
        <f t="shared" si="4"/>
        <v>0</v>
      </c>
      <c r="O30" s="133">
        <f t="shared" si="4"/>
        <v>0</v>
      </c>
      <c r="P30" s="133">
        <f t="shared" si="4"/>
        <v>0</v>
      </c>
      <c r="Q30" s="133">
        <f t="shared" si="4"/>
        <v>0</v>
      </c>
      <c r="R30" s="133">
        <f t="shared" si="4"/>
        <v>0</v>
      </c>
      <c r="S30" s="133">
        <f t="shared" si="4"/>
        <v>0</v>
      </c>
      <c r="T30" s="133">
        <f t="shared" si="4"/>
        <v>0</v>
      </c>
      <c r="U30" s="133">
        <f t="shared" si="4"/>
        <v>0</v>
      </c>
      <c r="V30" s="133">
        <f t="shared" si="4"/>
        <v>0</v>
      </c>
      <c r="W30" s="133">
        <f t="shared" si="4"/>
        <v>0</v>
      </c>
      <c r="X30" s="133">
        <f t="shared" si="4"/>
        <v>0</v>
      </c>
      <c r="Y30" s="133">
        <f t="shared" si="4"/>
        <v>0</v>
      </c>
      <c r="Z30" s="133">
        <f t="shared" si="4"/>
        <v>0</v>
      </c>
      <c r="AA30" s="133">
        <f t="shared" si="4"/>
        <v>0</v>
      </c>
      <c r="AB30" s="133">
        <f t="shared" si="4"/>
        <v>0</v>
      </c>
      <c r="AC30" s="133">
        <f t="shared" si="4"/>
        <v>0</v>
      </c>
      <c r="AD30" s="133">
        <f t="shared" si="4"/>
        <v>0</v>
      </c>
      <c r="AE30" s="133">
        <f t="shared" si="4"/>
        <v>0</v>
      </c>
      <c r="AF30" s="133">
        <f t="shared" si="4"/>
        <v>0</v>
      </c>
      <c r="AG30" s="133">
        <f t="shared" si="4"/>
        <v>0</v>
      </c>
      <c r="AH30" s="277">
        <f t="shared" si="4"/>
        <v>-400</v>
      </c>
      <c r="AI30" s="85"/>
      <c r="AJ30" s="511" t="s">
        <v>130</v>
      </c>
      <c r="AK30" s="512"/>
      <c r="AL30" s="512"/>
      <c r="AM30" s="513"/>
    </row>
    <row r="31" spans="1:39" ht="16.5" thickBot="1" x14ac:dyDescent="0.3">
      <c r="A31" s="195"/>
      <c r="B31" s="196"/>
      <c r="C31" s="197"/>
      <c r="D31" s="196"/>
      <c r="E31" s="196"/>
      <c r="F31" s="196"/>
      <c r="G31" s="196"/>
      <c r="H31" s="278"/>
      <c r="I31" s="196"/>
      <c r="J31" s="196"/>
      <c r="K31" s="196"/>
      <c r="L31" s="196"/>
      <c r="M31" s="196"/>
      <c r="N31" s="196"/>
      <c r="O31" s="196"/>
      <c r="P31" s="196"/>
      <c r="Q31" s="196"/>
      <c r="R31" s="263"/>
      <c r="S31" s="196"/>
      <c r="T31" s="196"/>
      <c r="U31" s="196"/>
      <c r="V31" s="196"/>
      <c r="W31" s="196"/>
      <c r="X31" s="196"/>
      <c r="Y31" s="197"/>
      <c r="Z31" s="196"/>
      <c r="AA31" s="196"/>
      <c r="AB31" s="196"/>
      <c r="AC31" s="196"/>
      <c r="AD31" s="196"/>
      <c r="AE31" s="196"/>
      <c r="AF31" s="196"/>
      <c r="AG31" s="196"/>
      <c r="AH31" s="198"/>
      <c r="AJ31" s="282" t="s">
        <v>66</v>
      </c>
      <c r="AK31" s="283" t="s">
        <v>131</v>
      </c>
      <c r="AL31" s="283" t="s">
        <v>123</v>
      </c>
      <c r="AM31" s="284" t="s">
        <v>124</v>
      </c>
    </row>
    <row r="32" spans="1:39" x14ac:dyDescent="0.25">
      <c r="A32" s="89" t="s">
        <v>60</v>
      </c>
      <c r="B32" s="84" t="s">
        <v>54</v>
      </c>
      <c r="C32" s="392">
        <v>1486.39</v>
      </c>
      <c r="D32" s="392">
        <v>743</v>
      </c>
      <c r="E32" s="392">
        <v>379.26</v>
      </c>
      <c r="F32" s="392">
        <v>1596.5</v>
      </c>
      <c r="G32" s="392">
        <v>1055.04</v>
      </c>
      <c r="H32" s="392">
        <v>1626.21</v>
      </c>
      <c r="I32" s="392">
        <v>1059.96</v>
      </c>
      <c r="J32" s="392">
        <v>2421.8000000000002</v>
      </c>
      <c r="K32" s="392">
        <v>1766.76</v>
      </c>
      <c r="L32" s="392">
        <v>864.1</v>
      </c>
      <c r="M32" s="392">
        <v>844.95</v>
      </c>
      <c r="N32" s="392">
        <v>1057.5</v>
      </c>
      <c r="O32" s="392">
        <v>1142.77</v>
      </c>
      <c r="P32" s="392">
        <v>1795.13</v>
      </c>
      <c r="Q32" s="392">
        <v>1933.68</v>
      </c>
      <c r="R32" s="392">
        <v>644.13</v>
      </c>
      <c r="S32" s="392">
        <v>896.21</v>
      </c>
      <c r="T32" s="392">
        <v>169.5</v>
      </c>
      <c r="U32" s="392">
        <v>541.76</v>
      </c>
      <c r="V32" s="392">
        <v>876.86</v>
      </c>
      <c r="W32" s="392">
        <v>1007.07</v>
      </c>
      <c r="X32" s="392">
        <v>1193.3399999999999</v>
      </c>
      <c r="Y32" s="392">
        <v>184.2</v>
      </c>
      <c r="Z32" s="392">
        <v>224.65</v>
      </c>
      <c r="AA32" s="392">
        <v>177.6</v>
      </c>
      <c r="AB32" s="392">
        <v>261.45</v>
      </c>
      <c r="AC32" s="392">
        <v>191.9</v>
      </c>
      <c r="AD32" s="392">
        <v>245.46</v>
      </c>
      <c r="AE32" s="392">
        <v>1251.02</v>
      </c>
      <c r="AF32" s="392">
        <v>181.75</v>
      </c>
      <c r="AG32" s="393">
        <v>157.75</v>
      </c>
      <c r="AH32" s="110">
        <f>SUM(C32:AG32)</f>
        <v>27977.700000000004</v>
      </c>
      <c r="AJ32" s="137" t="s">
        <v>60</v>
      </c>
      <c r="AK32" s="138" t="s">
        <v>125</v>
      </c>
      <c r="AL32" s="386">
        <f>SUM(C32:AF32)</f>
        <v>27819.950000000004</v>
      </c>
      <c r="AM32" s="387">
        <f>SUM(AG32)</f>
        <v>157.75</v>
      </c>
    </row>
    <row r="33" spans="1:40" x14ac:dyDescent="0.25">
      <c r="A33" s="90" t="s">
        <v>60</v>
      </c>
      <c r="B33" s="91" t="s">
        <v>55</v>
      </c>
      <c r="C33" s="480">
        <v>8999.9699999999993</v>
      </c>
      <c r="D33" s="480">
        <v>3100.71</v>
      </c>
      <c r="E33" s="480">
        <v>3084.79</v>
      </c>
      <c r="F33" s="480">
        <v>6355.02</v>
      </c>
      <c r="G33" s="480">
        <v>3634.01</v>
      </c>
      <c r="H33" s="480">
        <v>5140.87</v>
      </c>
      <c r="I33" s="480">
        <v>5410.84</v>
      </c>
      <c r="J33" s="480">
        <v>10403.76</v>
      </c>
      <c r="K33" s="480">
        <v>7709.71</v>
      </c>
      <c r="L33" s="480">
        <v>4795.8999999999996</v>
      </c>
      <c r="M33" s="480">
        <v>4184.43</v>
      </c>
      <c r="N33" s="480">
        <v>3673.21</v>
      </c>
      <c r="O33" s="480">
        <v>5772.31</v>
      </c>
      <c r="P33" s="480">
        <v>8551.44</v>
      </c>
      <c r="Q33" s="480">
        <v>11707.1</v>
      </c>
      <c r="R33" s="480">
        <v>5856.8</v>
      </c>
      <c r="S33" s="480">
        <v>4837.93</v>
      </c>
      <c r="T33" s="480">
        <v>1333.64</v>
      </c>
      <c r="U33" s="480">
        <v>3093.6</v>
      </c>
      <c r="V33" s="480">
        <v>3471.23</v>
      </c>
      <c r="W33" s="480">
        <v>5518.96</v>
      </c>
      <c r="X33" s="480">
        <v>6705.45</v>
      </c>
      <c r="Y33" s="480">
        <v>2345.9</v>
      </c>
      <c r="Z33" s="480">
        <v>2429.0500000000002</v>
      </c>
      <c r="AA33" s="494">
        <v>535.26</v>
      </c>
      <c r="AB33" s="494">
        <v>1279.67</v>
      </c>
      <c r="AC33" s="494">
        <v>1213.05</v>
      </c>
      <c r="AD33" s="494">
        <v>3629.97</v>
      </c>
      <c r="AE33" s="494">
        <v>4063.18</v>
      </c>
      <c r="AF33" s="494">
        <v>2533.96</v>
      </c>
      <c r="AG33" s="494">
        <v>1252.0999999999999</v>
      </c>
      <c r="AH33" s="111">
        <f t="shared" ref="AH33:AH37" si="5">SUM(C33:AG33)</f>
        <v>142623.82</v>
      </c>
      <c r="AJ33" s="129" t="s">
        <v>60</v>
      </c>
      <c r="AK33" s="130" t="s">
        <v>207</v>
      </c>
      <c r="AL33" s="290">
        <f>SUM(C33:Z33)-AL44</f>
        <v>124236.26000000002</v>
      </c>
      <c r="AM33" s="291">
        <f>SUM(AA33:AG33)-AM44</f>
        <v>14065.61</v>
      </c>
    </row>
    <row r="34" spans="1:40" x14ac:dyDescent="0.25">
      <c r="A34" s="92" t="s">
        <v>60</v>
      </c>
      <c r="B34" s="93" t="s">
        <v>98</v>
      </c>
      <c r="C34" s="380"/>
      <c r="D34" s="380"/>
      <c r="E34" s="380"/>
      <c r="F34" s="390"/>
      <c r="G34" s="380"/>
      <c r="H34" s="380"/>
      <c r="I34" s="380"/>
      <c r="J34" s="380"/>
      <c r="K34" s="380"/>
      <c r="L34" s="380"/>
      <c r="M34" s="380"/>
      <c r="N34" s="380"/>
      <c r="O34" s="380"/>
      <c r="P34" s="380"/>
      <c r="Q34" s="380"/>
      <c r="R34" s="380"/>
      <c r="S34" s="380"/>
      <c r="T34" s="380"/>
      <c r="U34" s="380"/>
      <c r="V34" s="380"/>
      <c r="W34" s="380"/>
      <c r="X34" s="380"/>
      <c r="Y34" s="381"/>
      <c r="Z34" s="381"/>
      <c r="AA34" s="380"/>
      <c r="AB34" s="380"/>
      <c r="AC34" s="380"/>
      <c r="AD34" s="380"/>
      <c r="AE34" s="380"/>
      <c r="AF34" s="380"/>
      <c r="AG34" s="380"/>
      <c r="AH34" s="111">
        <f t="shared" si="5"/>
        <v>0</v>
      </c>
      <c r="AJ34" s="129" t="s">
        <v>60</v>
      </c>
      <c r="AK34" s="130" t="s">
        <v>126</v>
      </c>
      <c r="AL34" s="290">
        <f>SUM(C34:AD34)</f>
        <v>0</v>
      </c>
      <c r="AM34" s="291">
        <f>SUM(AE34:AG34)</f>
        <v>0</v>
      </c>
    </row>
    <row r="35" spans="1:40" hidden="1" x14ac:dyDescent="0.25">
      <c r="A35" s="92" t="s">
        <v>60</v>
      </c>
      <c r="B35" s="93" t="s">
        <v>99</v>
      </c>
      <c r="C35" s="380"/>
      <c r="D35" s="380"/>
      <c r="E35" s="380"/>
      <c r="F35" s="38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0"/>
      <c r="Z35" s="380"/>
      <c r="AA35" s="380"/>
      <c r="AB35" s="380"/>
      <c r="AC35" s="380"/>
      <c r="AD35" s="380"/>
      <c r="AE35" s="380"/>
      <c r="AF35" s="380"/>
      <c r="AG35" s="380"/>
      <c r="AH35" s="111">
        <f t="shared" si="5"/>
        <v>0</v>
      </c>
      <c r="AJ35" s="129" t="s">
        <v>60</v>
      </c>
      <c r="AK35" s="130" t="s">
        <v>127</v>
      </c>
      <c r="AL35" s="290"/>
      <c r="AM35" s="388"/>
    </row>
    <row r="36" spans="1:40" ht="16.5" customHeight="1" x14ac:dyDescent="0.25">
      <c r="A36" s="92" t="s">
        <v>67</v>
      </c>
      <c r="B36" s="93" t="s">
        <v>68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67</v>
      </c>
      <c r="AK36" s="130" t="s">
        <v>92</v>
      </c>
      <c r="AL36" s="269">
        <f>AH36</f>
        <v>0</v>
      </c>
      <c r="AM36" s="270"/>
      <c r="AN36" s="265" t="s">
        <v>128</v>
      </c>
    </row>
    <row r="37" spans="1:40" ht="16.5" thickBot="1" x14ac:dyDescent="0.3">
      <c r="A37" s="81" t="s">
        <v>110</v>
      </c>
      <c r="B37" s="94" t="s">
        <v>85</v>
      </c>
      <c r="C37" s="382"/>
      <c r="D37" s="382"/>
      <c r="E37" s="382"/>
      <c r="F37" s="382"/>
      <c r="G37" s="382"/>
      <c r="H37" s="382"/>
      <c r="I37" s="382"/>
      <c r="J37" s="382"/>
      <c r="K37" s="382">
        <v>42</v>
      </c>
      <c r="L37" s="382"/>
      <c r="M37" s="382"/>
      <c r="N37" s="382"/>
      <c r="O37" s="382">
        <v>32</v>
      </c>
      <c r="P37" s="382"/>
      <c r="Q37" s="382"/>
      <c r="R37" s="382"/>
      <c r="S37" s="382"/>
      <c r="T37" s="382"/>
      <c r="U37" s="382"/>
      <c r="V37" s="382"/>
      <c r="W37" s="382"/>
      <c r="X37" s="382"/>
      <c r="Y37" s="382"/>
      <c r="Z37" s="382"/>
      <c r="AA37" s="382"/>
      <c r="AB37" s="382"/>
      <c r="AC37" s="382">
        <v>33.6</v>
      </c>
      <c r="AD37" s="382"/>
      <c r="AE37" s="382">
        <v>50</v>
      </c>
      <c r="AF37" s="382"/>
      <c r="AG37" s="382"/>
      <c r="AH37" s="112">
        <f t="shared" si="5"/>
        <v>157.6</v>
      </c>
      <c r="AJ37" s="129" t="s">
        <v>110</v>
      </c>
      <c r="AK37" s="130" t="s">
        <v>159</v>
      </c>
      <c r="AL37" s="269">
        <f>AH37</f>
        <v>157.6</v>
      </c>
      <c r="AM37" s="270"/>
    </row>
    <row r="38" spans="1:40" ht="16.5" thickBot="1" x14ac:dyDescent="0.3">
      <c r="A38" s="202"/>
      <c r="B38" s="193" t="s">
        <v>65</v>
      </c>
      <c r="C38" s="107">
        <f t="shared" ref="C38:AG38" si="6">SUM(C32:C37)</f>
        <v>10486.359999999999</v>
      </c>
      <c r="D38" s="107">
        <f t="shared" si="6"/>
        <v>3843.71</v>
      </c>
      <c r="E38" s="107">
        <f t="shared" si="6"/>
        <v>3464.05</v>
      </c>
      <c r="F38" s="107">
        <f t="shared" si="6"/>
        <v>7951.52</v>
      </c>
      <c r="G38" s="107">
        <f t="shared" si="6"/>
        <v>4689.05</v>
      </c>
      <c r="H38" s="107">
        <f t="shared" si="6"/>
        <v>6767.08</v>
      </c>
      <c r="I38" s="107">
        <f t="shared" si="6"/>
        <v>6470.8</v>
      </c>
      <c r="J38" s="107">
        <f t="shared" si="6"/>
        <v>12825.560000000001</v>
      </c>
      <c r="K38" s="107">
        <f t="shared" si="6"/>
        <v>9518.4699999999993</v>
      </c>
      <c r="L38" s="107">
        <f t="shared" si="6"/>
        <v>5660</v>
      </c>
      <c r="M38" s="107">
        <f t="shared" si="6"/>
        <v>5029.38</v>
      </c>
      <c r="N38" s="107">
        <f t="shared" si="6"/>
        <v>4730.71</v>
      </c>
      <c r="O38" s="107">
        <f t="shared" si="6"/>
        <v>6947.08</v>
      </c>
      <c r="P38" s="107">
        <f t="shared" si="6"/>
        <v>10346.57</v>
      </c>
      <c r="Q38" s="107">
        <f t="shared" si="6"/>
        <v>13640.78</v>
      </c>
      <c r="R38" s="107">
        <f t="shared" si="6"/>
        <v>6500.93</v>
      </c>
      <c r="S38" s="107">
        <f t="shared" si="6"/>
        <v>5734.14</v>
      </c>
      <c r="T38" s="107">
        <f t="shared" si="6"/>
        <v>1503.14</v>
      </c>
      <c r="U38" s="107">
        <f t="shared" si="6"/>
        <v>3635.3599999999997</v>
      </c>
      <c r="V38" s="107">
        <f t="shared" si="6"/>
        <v>4348.09</v>
      </c>
      <c r="W38" s="107">
        <f t="shared" si="6"/>
        <v>6526.03</v>
      </c>
      <c r="X38" s="107">
        <f t="shared" si="6"/>
        <v>7898.79</v>
      </c>
      <c r="Y38" s="107">
        <f t="shared" si="6"/>
        <v>2530.1</v>
      </c>
      <c r="Z38" s="107">
        <f t="shared" si="6"/>
        <v>2653.7000000000003</v>
      </c>
      <c r="AA38" s="107">
        <f t="shared" si="6"/>
        <v>712.86</v>
      </c>
      <c r="AB38" s="107">
        <f t="shared" si="6"/>
        <v>1541.1200000000001</v>
      </c>
      <c r="AC38" s="107">
        <f t="shared" si="6"/>
        <v>1438.55</v>
      </c>
      <c r="AD38" s="107">
        <f t="shared" si="6"/>
        <v>3875.43</v>
      </c>
      <c r="AE38" s="107">
        <f t="shared" si="6"/>
        <v>5364.2</v>
      </c>
      <c r="AF38" s="107">
        <f t="shared" si="6"/>
        <v>2715.71</v>
      </c>
      <c r="AG38" s="107">
        <f t="shared" si="6"/>
        <v>1409.85</v>
      </c>
      <c r="AH38" s="110">
        <f>SUM(C38:AG38)</f>
        <v>170759.12000000002</v>
      </c>
      <c r="AI38" s="59"/>
      <c r="AJ38" s="507" t="s">
        <v>76</v>
      </c>
      <c r="AK38" s="508"/>
      <c r="AL38" s="509">
        <f>SUM(AL32:AM37)</f>
        <v>166437.17000000001</v>
      </c>
      <c r="AM38" s="510"/>
      <c r="AN38" s="273">
        <f>AL38-AH38+AL44+AM44</f>
        <v>-1.2221335055073723E-11</v>
      </c>
    </row>
    <row r="39" spans="1:40" x14ac:dyDescent="0.25">
      <c r="A39" s="203"/>
      <c r="B39" s="194" t="s">
        <v>105</v>
      </c>
      <c r="C39" s="72">
        <f>C29</f>
        <v>10487.75</v>
      </c>
      <c r="D39" s="72">
        <f t="shared" ref="D39:AG39" si="7">D29</f>
        <v>3829.71</v>
      </c>
      <c r="E39" s="72">
        <f t="shared" si="7"/>
        <v>3462.7</v>
      </c>
      <c r="F39" s="72">
        <f t="shared" si="7"/>
        <v>7951.52</v>
      </c>
      <c r="G39" s="72">
        <f t="shared" si="7"/>
        <v>4699.67</v>
      </c>
      <c r="H39" s="72">
        <f t="shared" si="7"/>
        <v>6767.08</v>
      </c>
      <c r="I39" s="72">
        <f t="shared" si="7"/>
        <v>6467.22</v>
      </c>
      <c r="J39" s="72">
        <f t="shared" si="7"/>
        <v>12809.91</v>
      </c>
      <c r="K39" s="72">
        <f t="shared" si="7"/>
        <v>9513.2800000000007</v>
      </c>
      <c r="L39" s="72">
        <f t="shared" si="7"/>
        <v>6059.67</v>
      </c>
      <c r="M39" s="72">
        <f t="shared" si="7"/>
        <v>5028.67</v>
      </c>
      <c r="N39" s="72">
        <f t="shared" si="7"/>
        <v>4731.22</v>
      </c>
      <c r="O39" s="72">
        <f t="shared" si="7"/>
        <v>6947.08</v>
      </c>
      <c r="P39" s="72">
        <f t="shared" si="7"/>
        <v>10347.64</v>
      </c>
      <c r="Q39" s="72">
        <f t="shared" si="7"/>
        <v>13640.48</v>
      </c>
      <c r="R39" s="72">
        <f t="shared" si="7"/>
        <v>6499.75</v>
      </c>
      <c r="S39" s="72">
        <f t="shared" si="7"/>
        <v>5733.66</v>
      </c>
      <c r="T39" s="72">
        <f t="shared" si="7"/>
        <v>1501.91</v>
      </c>
      <c r="U39" s="72">
        <f t="shared" si="7"/>
        <v>3635.36</v>
      </c>
      <c r="V39" s="72">
        <f t="shared" si="7"/>
        <v>4348.09</v>
      </c>
      <c r="W39" s="72">
        <f t="shared" si="7"/>
        <v>6527.79</v>
      </c>
      <c r="X39" s="72">
        <f t="shared" si="7"/>
        <v>7898.8</v>
      </c>
      <c r="Y39" s="72">
        <f t="shared" si="7"/>
        <v>2541.88</v>
      </c>
      <c r="Z39" s="72">
        <f t="shared" si="7"/>
        <v>2643.95</v>
      </c>
      <c r="AA39" s="72">
        <f t="shared" si="7"/>
        <v>711.53</v>
      </c>
      <c r="AB39" s="72">
        <f t="shared" si="7"/>
        <v>1540.42</v>
      </c>
      <c r="AC39" s="72">
        <f t="shared" si="7"/>
        <v>1437.27</v>
      </c>
      <c r="AD39" s="72">
        <f t="shared" si="7"/>
        <v>3870.44</v>
      </c>
      <c r="AE39" s="72">
        <f t="shared" si="7"/>
        <v>5372.45</v>
      </c>
      <c r="AF39" s="72">
        <f t="shared" si="7"/>
        <v>2714.08</v>
      </c>
      <c r="AG39" s="72">
        <f t="shared" si="7"/>
        <v>1408.1</v>
      </c>
      <c r="AH39" s="111">
        <f t="shared" ref="AH39:AH40" si="8">SUM(C39:AG39)</f>
        <v>171129.08000000002</v>
      </c>
      <c r="AJ39" s="59"/>
      <c r="AK39" s="59"/>
    </row>
    <row r="40" spans="1:40" ht="16.5" thickBot="1" x14ac:dyDescent="0.3">
      <c r="A40" s="204"/>
      <c r="B40" s="104" t="s">
        <v>104</v>
      </c>
      <c r="C40" s="133">
        <f>C38-C39</f>
        <v>-1.3900000000012369</v>
      </c>
      <c r="D40" s="133">
        <f>D38-D39</f>
        <v>14</v>
      </c>
      <c r="E40" s="133">
        <f>E38-E39</f>
        <v>1.3500000000003638</v>
      </c>
      <c r="F40" s="133">
        <f t="shared" ref="F40:AG40" si="9">F38-F39</f>
        <v>0</v>
      </c>
      <c r="G40" s="133">
        <f t="shared" si="9"/>
        <v>-10.619999999999891</v>
      </c>
      <c r="H40" s="133">
        <f t="shared" si="9"/>
        <v>0</v>
      </c>
      <c r="I40" s="133">
        <f t="shared" si="9"/>
        <v>3.5799999999999272</v>
      </c>
      <c r="J40" s="133">
        <f t="shared" si="9"/>
        <v>15.650000000001455</v>
      </c>
      <c r="K40" s="133">
        <f t="shared" si="9"/>
        <v>5.1899999999986903</v>
      </c>
      <c r="L40" s="133">
        <f t="shared" si="9"/>
        <v>-399.67000000000007</v>
      </c>
      <c r="M40" s="133">
        <f t="shared" si="9"/>
        <v>0.71000000000003638</v>
      </c>
      <c r="N40" s="133">
        <f t="shared" si="9"/>
        <v>-0.51000000000021828</v>
      </c>
      <c r="O40" s="133">
        <f t="shared" si="9"/>
        <v>0</v>
      </c>
      <c r="P40" s="133">
        <f t="shared" si="9"/>
        <v>-1.069999999999709</v>
      </c>
      <c r="Q40" s="133">
        <f t="shared" si="9"/>
        <v>0.30000000000109139</v>
      </c>
      <c r="R40" s="133">
        <f t="shared" si="9"/>
        <v>1.180000000000291</v>
      </c>
      <c r="S40" s="133">
        <f t="shared" si="9"/>
        <v>0.48000000000047294</v>
      </c>
      <c r="T40" s="133">
        <f t="shared" si="9"/>
        <v>1.2300000000000182</v>
      </c>
      <c r="U40" s="133">
        <f t="shared" si="9"/>
        <v>0</v>
      </c>
      <c r="V40" s="133">
        <f t="shared" si="9"/>
        <v>0</v>
      </c>
      <c r="W40" s="133">
        <f t="shared" si="9"/>
        <v>-1.7600000000002183</v>
      </c>
      <c r="X40" s="133">
        <f t="shared" si="9"/>
        <v>-1.0000000000218279E-2</v>
      </c>
      <c r="Y40" s="133">
        <f t="shared" si="9"/>
        <v>-11.7800000000002</v>
      </c>
      <c r="Z40" s="133">
        <f t="shared" si="9"/>
        <v>9.7500000000004547</v>
      </c>
      <c r="AA40" s="133">
        <f t="shared" si="9"/>
        <v>1.3300000000000409</v>
      </c>
      <c r="AB40" s="133">
        <f t="shared" si="9"/>
        <v>0.70000000000004547</v>
      </c>
      <c r="AC40" s="133">
        <f t="shared" si="9"/>
        <v>1.2799999999999727</v>
      </c>
      <c r="AD40" s="133">
        <f t="shared" si="9"/>
        <v>4.9899999999997817</v>
      </c>
      <c r="AE40" s="133">
        <f t="shared" si="9"/>
        <v>-8.25</v>
      </c>
      <c r="AF40" s="133">
        <f t="shared" si="9"/>
        <v>1.6300000000001091</v>
      </c>
      <c r="AG40" s="133">
        <f t="shared" si="9"/>
        <v>1.75</v>
      </c>
      <c r="AH40" s="112">
        <f t="shared" si="8"/>
        <v>-369.95999999999901</v>
      </c>
      <c r="AJ40" s="377">
        <f>AH38-AH39</f>
        <v>-369.95999999999185</v>
      </c>
      <c r="AK40" s="268"/>
      <c r="AL40" s="99"/>
    </row>
    <row r="41" spans="1:40" ht="16.5" thickBot="1" x14ac:dyDescent="0.3">
      <c r="A41" s="95"/>
      <c r="B41" s="96"/>
      <c r="C41" s="97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8"/>
      <c r="AJ41" s="268"/>
      <c r="AK41" s="268"/>
      <c r="AL41" s="99"/>
      <c r="AM41" s="190"/>
      <c r="AN41" s="192"/>
    </row>
    <row r="42" spans="1:40" s="99" customFormat="1" ht="16.5" thickBot="1" x14ac:dyDescent="0.3">
      <c r="A42" s="100"/>
      <c r="B42" s="101" t="s">
        <v>56</v>
      </c>
      <c r="C42" s="114">
        <f t="shared" ref="C42:AG42" si="10">SUM(C3:C27)-SUM(C32:C37)</f>
        <v>1.3900000000012369</v>
      </c>
      <c r="D42" s="114">
        <f t="shared" si="10"/>
        <v>-14</v>
      </c>
      <c r="E42" s="114">
        <f t="shared" si="10"/>
        <v>-1.3500000000003638</v>
      </c>
      <c r="F42" s="114">
        <f t="shared" si="10"/>
        <v>0</v>
      </c>
      <c r="G42" s="114">
        <f t="shared" si="10"/>
        <v>10.619999999999891</v>
      </c>
      <c r="H42" s="114">
        <f t="shared" si="10"/>
        <v>0</v>
      </c>
      <c r="I42" s="114">
        <f t="shared" si="10"/>
        <v>-3.5800000000008367</v>
      </c>
      <c r="J42" s="114">
        <f t="shared" si="10"/>
        <v>-15.650000000001455</v>
      </c>
      <c r="K42" s="114">
        <f t="shared" si="10"/>
        <v>-5.1899999999986903</v>
      </c>
      <c r="L42" s="114">
        <f t="shared" si="10"/>
        <v>-0.32999999999992724</v>
      </c>
      <c r="M42" s="114">
        <f t="shared" si="10"/>
        <v>-0.71000000000003638</v>
      </c>
      <c r="N42" s="114">
        <f t="shared" si="10"/>
        <v>0.50999999999930878</v>
      </c>
      <c r="O42" s="114">
        <f t="shared" si="10"/>
        <v>0</v>
      </c>
      <c r="P42" s="114">
        <f t="shared" si="10"/>
        <v>1.069999999999709</v>
      </c>
      <c r="Q42" s="114">
        <f t="shared" si="10"/>
        <v>-0.2999999999992724</v>
      </c>
      <c r="R42" s="114">
        <f t="shared" si="10"/>
        <v>-1.1799999999993815</v>
      </c>
      <c r="S42" s="114">
        <f t="shared" si="10"/>
        <v>-0.48000000000047294</v>
      </c>
      <c r="T42" s="114">
        <f t="shared" si="10"/>
        <v>-1.2300000000000182</v>
      </c>
      <c r="U42" s="114">
        <f t="shared" si="10"/>
        <v>0</v>
      </c>
      <c r="V42" s="114">
        <f t="shared" si="10"/>
        <v>0</v>
      </c>
      <c r="W42" s="114">
        <f t="shared" si="10"/>
        <v>1.7600000000011278</v>
      </c>
      <c r="X42" s="114">
        <f t="shared" si="10"/>
        <v>1.0000000000218279E-2</v>
      </c>
      <c r="Y42" s="114">
        <f t="shared" si="10"/>
        <v>11.7800000000002</v>
      </c>
      <c r="Z42" s="114">
        <f t="shared" si="10"/>
        <v>-9.75</v>
      </c>
      <c r="AA42" s="114">
        <f t="shared" si="10"/>
        <v>-1.3300000000000409</v>
      </c>
      <c r="AB42" s="114">
        <f t="shared" si="10"/>
        <v>-0.70000000000004547</v>
      </c>
      <c r="AC42" s="114">
        <f t="shared" si="10"/>
        <v>-1.2799999999999727</v>
      </c>
      <c r="AD42" s="114">
        <f t="shared" si="10"/>
        <v>-4.989999999999327</v>
      </c>
      <c r="AE42" s="114">
        <f t="shared" si="10"/>
        <v>8.25</v>
      </c>
      <c r="AF42" s="114">
        <f t="shared" si="10"/>
        <v>-1.6300000000001091</v>
      </c>
      <c r="AG42" s="114">
        <f t="shared" si="10"/>
        <v>-1.75</v>
      </c>
      <c r="AH42" s="115">
        <f>SUM(C42:AG42)</f>
        <v>-30.039999999998258</v>
      </c>
      <c r="AI42" s="62"/>
      <c r="AJ42" s="211" t="s">
        <v>32</v>
      </c>
      <c r="AK42" s="212" t="s">
        <v>91</v>
      </c>
      <c r="AL42" s="271">
        <f>AH42</f>
        <v>-30.039999999998258</v>
      </c>
      <c r="AM42" s="272"/>
      <c r="AN42" s="274" t="s">
        <v>129</v>
      </c>
    </row>
    <row r="43" spans="1:40" s="102" customFormat="1" ht="16.5" thickBot="1" x14ac:dyDescent="0.3">
      <c r="A43" s="224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6"/>
      <c r="AI43" s="62"/>
      <c r="AJ43" s="224"/>
      <c r="AK43" s="225"/>
      <c r="AL43" s="99"/>
      <c r="AM43" s="479">
        <f>AL38+AL42+AM42+AL44+AM44</f>
        <v>170729.08</v>
      </c>
      <c r="AN43" s="102">
        <f>AM43-AH28</f>
        <v>0</v>
      </c>
    </row>
    <row r="44" spans="1:40" s="99" customFormat="1" ht="16.5" thickBot="1" x14ac:dyDescent="0.3">
      <c r="A44" s="211" t="s">
        <v>203</v>
      </c>
      <c r="B44" s="101" t="s">
        <v>202</v>
      </c>
      <c r="C44" s="481">
        <v>270</v>
      </c>
      <c r="D44" s="482">
        <v>98.92</v>
      </c>
      <c r="E44" s="482">
        <v>92.54</v>
      </c>
      <c r="F44" s="482">
        <v>193.25</v>
      </c>
      <c r="G44" s="482">
        <v>109.66</v>
      </c>
      <c r="H44" s="482">
        <v>154.22999999999999</v>
      </c>
      <c r="I44" s="482">
        <v>164.22</v>
      </c>
      <c r="J44" s="482">
        <v>312.77</v>
      </c>
      <c r="K44" s="482">
        <v>231.73</v>
      </c>
      <c r="L44" s="482">
        <v>143.88</v>
      </c>
      <c r="M44" s="482">
        <v>130.61000000000001</v>
      </c>
      <c r="N44" s="482">
        <v>114.83</v>
      </c>
      <c r="O44" s="482">
        <v>174.44</v>
      </c>
      <c r="P44" s="482">
        <v>260.56</v>
      </c>
      <c r="Q44" s="482">
        <v>351.22</v>
      </c>
      <c r="R44" s="482">
        <v>177.6</v>
      </c>
      <c r="S44" s="482">
        <v>146.83000000000001</v>
      </c>
      <c r="T44" s="482">
        <v>40.090000000000003</v>
      </c>
      <c r="U44" s="482">
        <v>95.33</v>
      </c>
      <c r="V44" s="482">
        <v>104.15</v>
      </c>
      <c r="W44" s="482">
        <v>168.43</v>
      </c>
      <c r="X44" s="482">
        <v>201.16</v>
      </c>
      <c r="Y44" s="482">
        <v>70.38</v>
      </c>
      <c r="Z44" s="482">
        <v>73.540000000000006</v>
      </c>
      <c r="AA44" s="495">
        <v>16.079999999999998</v>
      </c>
      <c r="AB44" s="495">
        <v>38.380000000000003</v>
      </c>
      <c r="AC44" s="495">
        <v>36.409999999999997</v>
      </c>
      <c r="AD44" s="495">
        <v>111.75</v>
      </c>
      <c r="AE44" s="495">
        <v>123.15</v>
      </c>
      <c r="AF44" s="495">
        <v>76.02</v>
      </c>
      <c r="AG44" s="500">
        <v>39.79</v>
      </c>
      <c r="AH44" s="115">
        <f t="shared" ref="AH44" si="11">SUM(C44:AG44)</f>
        <v>4321.95</v>
      </c>
      <c r="AI44" s="62"/>
      <c r="AJ44" s="211" t="s">
        <v>203</v>
      </c>
      <c r="AK44" s="212" t="s">
        <v>204</v>
      </c>
      <c r="AL44" s="271">
        <f>SUM(C44:Z44)</f>
        <v>3880.3699999999994</v>
      </c>
      <c r="AM44" s="272">
        <f>SUM(AA44:AG44)</f>
        <v>441.58</v>
      </c>
      <c r="AN44" s="274"/>
    </row>
    <row r="45" spans="1:40" s="102" customFormat="1" ht="16.5" thickBot="1" x14ac:dyDescent="0.3">
      <c r="A45" s="224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226"/>
      <c r="AI45" s="62"/>
      <c r="AJ45" s="224"/>
      <c r="AK45" s="225"/>
      <c r="AL45" s="99"/>
    </row>
    <row r="46" spans="1:40" x14ac:dyDescent="0.25">
      <c r="A46" s="126"/>
      <c r="B46" s="213" t="s">
        <v>57</v>
      </c>
      <c r="C46" s="84">
        <v>524</v>
      </c>
      <c r="D46" s="84">
        <v>160</v>
      </c>
      <c r="E46" s="84">
        <v>117</v>
      </c>
      <c r="F46" s="84">
        <v>334</v>
      </c>
      <c r="G46" s="84">
        <v>236</v>
      </c>
      <c r="H46" s="84">
        <v>299</v>
      </c>
      <c r="I46" s="84">
        <v>337</v>
      </c>
      <c r="J46" s="84">
        <v>660</v>
      </c>
      <c r="K46" s="84">
        <v>496</v>
      </c>
      <c r="L46" s="84">
        <v>253</v>
      </c>
      <c r="M46" s="84">
        <v>240</v>
      </c>
      <c r="N46" s="84">
        <v>213</v>
      </c>
      <c r="O46" s="84">
        <v>375</v>
      </c>
      <c r="P46" s="84">
        <v>524</v>
      </c>
      <c r="Q46" s="84">
        <v>725</v>
      </c>
      <c r="R46" s="84">
        <v>366</v>
      </c>
      <c r="S46" s="84">
        <v>206</v>
      </c>
      <c r="T46" s="84">
        <v>92</v>
      </c>
      <c r="U46" s="84">
        <v>167</v>
      </c>
      <c r="V46" s="84">
        <v>246</v>
      </c>
      <c r="W46" s="84">
        <v>359</v>
      </c>
      <c r="X46" s="84">
        <v>395</v>
      </c>
      <c r="Y46" s="84">
        <v>150</v>
      </c>
      <c r="Z46" s="84">
        <v>80</v>
      </c>
      <c r="AA46" s="84">
        <v>80</v>
      </c>
      <c r="AB46" s="84">
        <v>73</v>
      </c>
      <c r="AC46" s="84">
        <v>62</v>
      </c>
      <c r="AD46" s="84">
        <v>135</v>
      </c>
      <c r="AE46" s="84">
        <v>287</v>
      </c>
      <c r="AF46" s="84">
        <v>189</v>
      </c>
      <c r="AG46" s="84">
        <v>50</v>
      </c>
      <c r="AH46" s="103">
        <f>SUM(C46:AG46)</f>
        <v>8430</v>
      </c>
      <c r="AJ46" s="126">
        <f>AH46</f>
        <v>8430</v>
      </c>
      <c r="AK46" s="218" t="s">
        <v>57</v>
      </c>
      <c r="AL46" s="102"/>
      <c r="AM46" s="102"/>
      <c r="AN46" s="102"/>
    </row>
    <row r="47" spans="1:40" ht="16.5" thickBot="1" x14ac:dyDescent="0.3">
      <c r="A47" s="135"/>
      <c r="B47" s="214" t="s">
        <v>58</v>
      </c>
      <c r="C47" s="94">
        <v>75</v>
      </c>
      <c r="D47" s="94">
        <v>20</v>
      </c>
      <c r="E47" s="94">
        <v>49</v>
      </c>
      <c r="F47" s="94">
        <v>76</v>
      </c>
      <c r="G47" s="94">
        <v>37</v>
      </c>
      <c r="H47" s="94">
        <v>69</v>
      </c>
      <c r="I47" s="94">
        <v>62</v>
      </c>
      <c r="J47" s="94">
        <v>69</v>
      </c>
      <c r="K47" s="94">
        <v>59</v>
      </c>
      <c r="L47" s="94">
        <v>62</v>
      </c>
      <c r="M47" s="94">
        <v>48</v>
      </c>
      <c r="N47" s="94">
        <v>48</v>
      </c>
      <c r="O47" s="94">
        <v>61</v>
      </c>
      <c r="P47" s="94">
        <v>59</v>
      </c>
      <c r="Q47" s="94">
        <v>72</v>
      </c>
      <c r="R47" s="94">
        <v>71</v>
      </c>
      <c r="S47" s="94">
        <v>62</v>
      </c>
      <c r="T47" s="94">
        <v>22</v>
      </c>
      <c r="U47" s="94">
        <v>67</v>
      </c>
      <c r="V47" s="94">
        <v>50</v>
      </c>
      <c r="W47" s="94">
        <v>65</v>
      </c>
      <c r="X47" s="94">
        <v>57</v>
      </c>
      <c r="Y47" s="94">
        <v>40</v>
      </c>
      <c r="Z47" s="94">
        <v>28</v>
      </c>
      <c r="AA47" s="94">
        <v>13</v>
      </c>
      <c r="AB47" s="94">
        <v>43</v>
      </c>
      <c r="AC47" s="94">
        <v>27</v>
      </c>
      <c r="AD47" s="94">
        <v>78</v>
      </c>
      <c r="AE47" s="94">
        <v>88</v>
      </c>
      <c r="AF47" s="94">
        <v>87</v>
      </c>
      <c r="AG47" s="94">
        <v>41</v>
      </c>
      <c r="AH47" s="105">
        <f>SUM(C47:AG47)</f>
        <v>1705</v>
      </c>
      <c r="AJ47" s="135">
        <f>AH47</f>
        <v>1705</v>
      </c>
      <c r="AK47" s="219" t="s">
        <v>58</v>
      </c>
    </row>
    <row r="48" spans="1:40" ht="16.5" thickBot="1" x14ac:dyDescent="0.3">
      <c r="A48" s="223"/>
      <c r="B48" s="227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8"/>
      <c r="AJ48" s="223"/>
      <c r="AK48" s="227"/>
    </row>
    <row r="49" spans="1:37" ht="16.5" thickBot="1" x14ac:dyDescent="0.3">
      <c r="A49" s="211"/>
      <c r="B49" s="212" t="s">
        <v>107</v>
      </c>
      <c r="C49" s="212">
        <f>C46+C47</f>
        <v>599</v>
      </c>
      <c r="D49" s="212">
        <f t="shared" ref="D49:AG49" si="12">D46+D47</f>
        <v>180</v>
      </c>
      <c r="E49" s="212">
        <f t="shared" si="12"/>
        <v>166</v>
      </c>
      <c r="F49" s="212">
        <f t="shared" si="12"/>
        <v>410</v>
      </c>
      <c r="G49" s="212">
        <f t="shared" si="12"/>
        <v>273</v>
      </c>
      <c r="H49" s="212">
        <f t="shared" si="12"/>
        <v>368</v>
      </c>
      <c r="I49" s="212">
        <f t="shared" si="12"/>
        <v>399</v>
      </c>
      <c r="J49" s="212">
        <f t="shared" si="12"/>
        <v>729</v>
      </c>
      <c r="K49" s="212">
        <f t="shared" si="12"/>
        <v>555</v>
      </c>
      <c r="L49" s="212">
        <f t="shared" si="12"/>
        <v>315</v>
      </c>
      <c r="M49" s="212">
        <f t="shared" si="12"/>
        <v>288</v>
      </c>
      <c r="N49" s="212">
        <f t="shared" si="12"/>
        <v>261</v>
      </c>
      <c r="O49" s="212">
        <f t="shared" si="12"/>
        <v>436</v>
      </c>
      <c r="P49" s="212">
        <f t="shared" si="12"/>
        <v>583</v>
      </c>
      <c r="Q49" s="212">
        <f t="shared" si="12"/>
        <v>797</v>
      </c>
      <c r="R49" s="212">
        <f t="shared" si="12"/>
        <v>437</v>
      </c>
      <c r="S49" s="212">
        <f t="shared" si="12"/>
        <v>268</v>
      </c>
      <c r="T49" s="212">
        <f t="shared" si="12"/>
        <v>114</v>
      </c>
      <c r="U49" s="212">
        <f t="shared" si="12"/>
        <v>234</v>
      </c>
      <c r="V49" s="212">
        <f t="shared" si="12"/>
        <v>296</v>
      </c>
      <c r="W49" s="212">
        <f t="shared" si="12"/>
        <v>424</v>
      </c>
      <c r="X49" s="212">
        <f t="shared" si="12"/>
        <v>452</v>
      </c>
      <c r="Y49" s="212">
        <f t="shared" si="12"/>
        <v>190</v>
      </c>
      <c r="Z49" s="212">
        <f t="shared" si="12"/>
        <v>108</v>
      </c>
      <c r="AA49" s="212">
        <f t="shared" si="12"/>
        <v>93</v>
      </c>
      <c r="AB49" s="212">
        <f t="shared" si="12"/>
        <v>116</v>
      </c>
      <c r="AC49" s="212">
        <f t="shared" si="12"/>
        <v>89</v>
      </c>
      <c r="AD49" s="212">
        <f t="shared" si="12"/>
        <v>213</v>
      </c>
      <c r="AE49" s="212">
        <f t="shared" si="12"/>
        <v>375</v>
      </c>
      <c r="AF49" s="212">
        <f t="shared" si="12"/>
        <v>276</v>
      </c>
      <c r="AG49" s="281">
        <f t="shared" si="12"/>
        <v>91</v>
      </c>
      <c r="AH49" s="280">
        <f>SUM(C49:AG49)</f>
        <v>10135</v>
      </c>
      <c r="AJ49" s="211">
        <f>AH49</f>
        <v>10135</v>
      </c>
      <c r="AK49" s="220" t="s">
        <v>107</v>
      </c>
    </row>
    <row r="50" spans="1:37" ht="16.5" thickBot="1" x14ac:dyDescent="0.3">
      <c r="A50" s="224"/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226"/>
      <c r="AJ50" s="225"/>
      <c r="AK50" s="225"/>
    </row>
    <row r="51" spans="1:37" ht="16.5" thickBot="1" x14ac:dyDescent="0.3">
      <c r="A51" s="211"/>
      <c r="B51" s="212" t="s">
        <v>106</v>
      </c>
      <c r="C51" s="215">
        <f>IF(C49&lt;=1,0,IF(C49&gt;=0,(SUM(C4+C6)/C49)))</f>
        <v>14.779966611018365</v>
      </c>
      <c r="D51" s="215">
        <f t="shared" ref="D51:AG51" si="13">IF(D49&lt;=1,0,IF(D49&gt;=0,(SUM(D4+D6)/D49)))</f>
        <v>14.541111111111112</v>
      </c>
      <c r="E51" s="215">
        <f t="shared" si="13"/>
        <v>10.518072289156626</v>
      </c>
      <c r="F51" s="215">
        <f t="shared" si="13"/>
        <v>12.804878048780488</v>
      </c>
      <c r="G51" s="215">
        <f t="shared" si="13"/>
        <v>14.107692307692307</v>
      </c>
      <c r="H51" s="215">
        <f t="shared" si="13"/>
        <v>12.592934782608696</v>
      </c>
      <c r="I51" s="215">
        <f t="shared" si="13"/>
        <v>12.679197994987469</v>
      </c>
      <c r="J51" s="215">
        <f t="shared" si="13"/>
        <v>14.765980795610425</v>
      </c>
      <c r="K51" s="215">
        <f t="shared" si="13"/>
        <v>14.240720720720722</v>
      </c>
      <c r="L51" s="215">
        <f t="shared" si="13"/>
        <v>11.001269841269842</v>
      </c>
      <c r="M51" s="215">
        <f t="shared" si="13"/>
        <v>12.959722222222222</v>
      </c>
      <c r="N51" s="215">
        <f t="shared" si="13"/>
        <v>11.84904214559387</v>
      </c>
      <c r="O51" s="215">
        <f t="shared" si="13"/>
        <v>12.68256880733945</v>
      </c>
      <c r="P51" s="215">
        <f t="shared" si="13"/>
        <v>12.436020583190395</v>
      </c>
      <c r="Q51" s="215">
        <f t="shared" si="13"/>
        <v>13.328983688833125</v>
      </c>
      <c r="R51" s="215">
        <f t="shared" si="13"/>
        <v>11.704347826086957</v>
      </c>
      <c r="S51" s="215">
        <f t="shared" si="13"/>
        <v>10.975373134328359</v>
      </c>
      <c r="T51" s="215">
        <f t="shared" si="13"/>
        <v>6.7412280701754383</v>
      </c>
      <c r="U51" s="215">
        <f t="shared" si="13"/>
        <v>9.1811965811965823</v>
      </c>
      <c r="V51" s="215">
        <f t="shared" si="13"/>
        <v>11.720945945945946</v>
      </c>
      <c r="W51" s="215">
        <f t="shared" si="13"/>
        <v>11.944811320754718</v>
      </c>
      <c r="X51" s="215">
        <f t="shared" si="13"/>
        <v>13.120796460176992</v>
      </c>
      <c r="Y51" s="215">
        <f t="shared" si="13"/>
        <v>9.2505263157894735</v>
      </c>
      <c r="Z51" s="215">
        <f t="shared" si="13"/>
        <v>8.6842592592592585</v>
      </c>
      <c r="AA51" s="215">
        <f t="shared" si="13"/>
        <v>7.123655913978495</v>
      </c>
      <c r="AB51" s="215">
        <f t="shared" si="13"/>
        <v>6.2189655172413794</v>
      </c>
      <c r="AC51" s="215">
        <f t="shared" si="13"/>
        <v>9.5730337078651679</v>
      </c>
      <c r="AD51" s="215">
        <f t="shared" si="13"/>
        <v>9.1558685446009385</v>
      </c>
      <c r="AE51" s="215">
        <f t="shared" si="13"/>
        <v>11.9648</v>
      </c>
      <c r="AF51" s="215">
        <f t="shared" si="13"/>
        <v>8.6485507246376816</v>
      </c>
      <c r="AG51" s="215">
        <f t="shared" si="13"/>
        <v>6.6000000000000005</v>
      </c>
      <c r="AH51" s="280">
        <f>IFERROR(AVERAGEIF(C51:AG51, "&lt;&gt;0"),)</f>
        <v>11.222468428134597</v>
      </c>
      <c r="AJ51" s="221">
        <f>AH51</f>
        <v>11.222468428134597</v>
      </c>
      <c r="AK51" s="222" t="s">
        <v>108</v>
      </c>
    </row>
    <row r="52" spans="1:37" ht="16.5" thickBot="1" x14ac:dyDescent="0.3"/>
    <row r="53" spans="1:37" ht="16.5" thickBot="1" x14ac:dyDescent="0.3">
      <c r="A53" s="211"/>
      <c r="B53" s="212" t="s">
        <v>120</v>
      </c>
      <c r="C53" s="242">
        <f>IF(C46&lt;=1,0,IF(C46&gt;=0,(SUM(C4+C6)/C46)))</f>
        <v>16.895419847328245</v>
      </c>
      <c r="D53" s="242">
        <f t="shared" ref="D53:AG53" si="14">IF(D46&lt;=1,0,IF(D46&gt;=0,(SUM(D4+D6)/D46)))</f>
        <v>16.358750000000001</v>
      </c>
      <c r="E53" s="242">
        <f t="shared" si="14"/>
        <v>14.923076923076923</v>
      </c>
      <c r="F53" s="242">
        <f t="shared" si="14"/>
        <v>15.718562874251496</v>
      </c>
      <c r="G53" s="242">
        <f t="shared" si="14"/>
        <v>16.319491525423729</v>
      </c>
      <c r="H53" s="242">
        <f t="shared" si="14"/>
        <v>15.498996655518393</v>
      </c>
      <c r="I53" s="242">
        <f t="shared" si="14"/>
        <v>15.011869436201781</v>
      </c>
      <c r="J53" s="242">
        <f t="shared" si="14"/>
        <v>16.309696969696969</v>
      </c>
      <c r="K53" s="242">
        <f t="shared" si="14"/>
        <v>15.93467741935484</v>
      </c>
      <c r="L53" s="242">
        <f t="shared" si="14"/>
        <v>13.697233201581028</v>
      </c>
      <c r="M53" s="242">
        <f t="shared" si="14"/>
        <v>15.551666666666668</v>
      </c>
      <c r="N53" s="242">
        <f t="shared" si="14"/>
        <v>14.519248826291079</v>
      </c>
      <c r="O53" s="242">
        <f t="shared" si="14"/>
        <v>14.745600000000001</v>
      </c>
      <c r="P53" s="242">
        <f t="shared" si="14"/>
        <v>13.836259541984733</v>
      </c>
      <c r="Q53" s="242">
        <f t="shared" si="14"/>
        <v>14.652689655172415</v>
      </c>
      <c r="R53" s="242">
        <f t="shared" si="14"/>
        <v>13.974863387978143</v>
      </c>
      <c r="S53" s="242">
        <f t="shared" si="14"/>
        <v>14.27864077669903</v>
      </c>
      <c r="T53" s="242">
        <f t="shared" si="14"/>
        <v>8.3532608695652169</v>
      </c>
      <c r="U53" s="242">
        <f t="shared" si="14"/>
        <v>12.864670658682636</v>
      </c>
      <c r="V53" s="242">
        <f t="shared" si="14"/>
        <v>14.103252032520325</v>
      </c>
      <c r="W53" s="242">
        <f t="shared" si="14"/>
        <v>14.107520891364903</v>
      </c>
      <c r="X53" s="242">
        <f t="shared" si="14"/>
        <v>15.014177215189875</v>
      </c>
      <c r="Y53" s="242">
        <f t="shared" si="14"/>
        <v>11.717333333333332</v>
      </c>
      <c r="Z53" s="242">
        <f t="shared" si="14"/>
        <v>11.723749999999999</v>
      </c>
      <c r="AA53" s="242">
        <f t="shared" si="14"/>
        <v>8.28125</v>
      </c>
      <c r="AB53" s="242">
        <f t="shared" si="14"/>
        <v>9.882191780821918</v>
      </c>
      <c r="AC53" s="242">
        <f t="shared" si="14"/>
        <v>13.741935483870968</v>
      </c>
      <c r="AD53" s="242">
        <f t="shared" si="14"/>
        <v>14.445925925925927</v>
      </c>
      <c r="AE53" s="242">
        <f t="shared" si="14"/>
        <v>15.633449477351917</v>
      </c>
      <c r="AF53" s="242">
        <f t="shared" si="14"/>
        <v>12.62962962962963</v>
      </c>
      <c r="AG53" s="242">
        <f t="shared" si="14"/>
        <v>12.012</v>
      </c>
      <c r="AH53" s="279">
        <f>IFERROR(AVERAGEIF(C53:AG53, "&lt;&gt;0"),)</f>
        <v>13.959261000176843</v>
      </c>
      <c r="AI53" s="243"/>
      <c r="AJ53" s="244">
        <f>AH53</f>
        <v>13.959261000176843</v>
      </c>
      <c r="AK53" s="222" t="s">
        <v>121</v>
      </c>
    </row>
    <row r="54" spans="1:37" ht="16.5" thickBot="1" x14ac:dyDescent="0.3"/>
    <row r="55" spans="1:37" ht="16.5" thickBot="1" x14ac:dyDescent="0.3">
      <c r="A55" s="295"/>
      <c r="B55" s="296" t="s">
        <v>133</v>
      </c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/>
      <c r="AE55" s="297"/>
      <c r="AF55" s="297"/>
      <c r="AG55" s="297"/>
      <c r="AH55" s="298" t="s">
        <v>134</v>
      </c>
      <c r="AJ55" s="299" t="s">
        <v>134</v>
      </c>
      <c r="AK55" s="300" t="s">
        <v>131</v>
      </c>
    </row>
    <row r="56" spans="1:37" x14ac:dyDescent="0.25">
      <c r="A56" s="90"/>
      <c r="B56" s="301" t="s">
        <v>135</v>
      </c>
      <c r="C56" s="91">
        <v>97</v>
      </c>
      <c r="D56" s="91">
        <v>98</v>
      </c>
      <c r="E56" s="91">
        <v>98</v>
      </c>
      <c r="F56" s="91">
        <v>98</v>
      </c>
      <c r="G56" s="91">
        <v>96</v>
      </c>
      <c r="H56" s="91">
        <v>98</v>
      </c>
      <c r="I56" s="91">
        <v>98</v>
      </c>
      <c r="J56" s="91">
        <v>97</v>
      </c>
      <c r="K56" s="91">
        <v>98</v>
      </c>
      <c r="L56" s="91">
        <v>99</v>
      </c>
      <c r="M56" s="91">
        <v>95</v>
      </c>
      <c r="N56" s="91">
        <v>98</v>
      </c>
      <c r="O56" s="91">
        <v>98</v>
      </c>
      <c r="P56" s="91">
        <v>98</v>
      </c>
      <c r="Q56" s="91">
        <v>98</v>
      </c>
      <c r="R56" s="91">
        <v>98</v>
      </c>
      <c r="S56" s="91">
        <v>98</v>
      </c>
      <c r="T56" s="91" t="s">
        <v>237</v>
      </c>
      <c r="U56" s="91">
        <v>95</v>
      </c>
      <c r="V56" s="91">
        <v>98</v>
      </c>
      <c r="W56" s="91">
        <v>98</v>
      </c>
      <c r="X56" s="91">
        <v>97</v>
      </c>
      <c r="Y56" s="91">
        <v>98</v>
      </c>
      <c r="Z56" s="91">
        <v>94</v>
      </c>
      <c r="AA56" s="91" t="s">
        <v>237</v>
      </c>
      <c r="AB56" s="91">
        <v>96</v>
      </c>
      <c r="AC56" s="91">
        <v>97</v>
      </c>
      <c r="AD56" s="91">
        <v>97</v>
      </c>
      <c r="AE56" s="91">
        <v>95</v>
      </c>
      <c r="AF56" s="91">
        <v>95</v>
      </c>
      <c r="AG56" s="91">
        <v>98</v>
      </c>
      <c r="AH56" s="302">
        <f>IFERROR(AVERAGEIF(C56:AG56,"&lt;&gt;0"),)</f>
        <v>97.172413793103445</v>
      </c>
      <c r="AJ56" s="303">
        <f>AH56</f>
        <v>97.172413793103445</v>
      </c>
      <c r="AK56" s="304" t="s">
        <v>136</v>
      </c>
    </row>
    <row r="57" spans="1:37" x14ac:dyDescent="0.25">
      <c r="A57" s="90"/>
      <c r="B57" s="301" t="s">
        <v>158</v>
      </c>
      <c r="C57" s="91">
        <v>87</v>
      </c>
      <c r="D57" s="91">
        <v>82</v>
      </c>
      <c r="E57" s="91">
        <v>84</v>
      </c>
      <c r="F57" s="91">
        <v>86</v>
      </c>
      <c r="G57" s="91">
        <v>80</v>
      </c>
      <c r="H57" s="91">
        <v>84</v>
      </c>
      <c r="I57" s="91">
        <v>84</v>
      </c>
      <c r="J57" s="91">
        <v>85</v>
      </c>
      <c r="K57" s="91">
        <v>84</v>
      </c>
      <c r="L57" s="91">
        <v>85</v>
      </c>
      <c r="M57" s="91">
        <v>83</v>
      </c>
      <c r="N57" s="91">
        <v>75</v>
      </c>
      <c r="O57" s="91">
        <v>81</v>
      </c>
      <c r="P57" s="91">
        <v>81</v>
      </c>
      <c r="Q57" s="91">
        <v>82</v>
      </c>
      <c r="R57" s="91">
        <v>83</v>
      </c>
      <c r="S57" s="91">
        <v>84</v>
      </c>
      <c r="T57" s="91" t="s">
        <v>237</v>
      </c>
      <c r="U57" s="91" t="s">
        <v>237</v>
      </c>
      <c r="V57" s="91">
        <v>85</v>
      </c>
      <c r="W57" s="91">
        <v>86</v>
      </c>
      <c r="X57" s="91">
        <v>88</v>
      </c>
      <c r="Y57" s="91">
        <v>83</v>
      </c>
      <c r="Z57" s="91" t="s">
        <v>237</v>
      </c>
      <c r="AA57" s="91" t="s">
        <v>237</v>
      </c>
      <c r="AB57" s="91" t="s">
        <v>237</v>
      </c>
      <c r="AC57" s="91" t="s">
        <v>237</v>
      </c>
      <c r="AD57" s="91" t="s">
        <v>237</v>
      </c>
      <c r="AE57" s="91">
        <v>96</v>
      </c>
      <c r="AF57" s="91">
        <v>94</v>
      </c>
      <c r="AG57" s="91">
        <v>94</v>
      </c>
      <c r="AH57" s="302">
        <f t="shared" ref="AH57:AH59" si="15">IFERROR(AVERAGEIF(C57:AG57,"&lt;&gt;0"),)</f>
        <v>84.833333333333329</v>
      </c>
      <c r="AJ57" s="305">
        <f>AH57</f>
        <v>84.833333333333329</v>
      </c>
      <c r="AK57" s="306" t="s">
        <v>137</v>
      </c>
    </row>
    <row r="58" spans="1:37" x14ac:dyDescent="0.25">
      <c r="A58" s="90"/>
      <c r="B58" s="301" t="s">
        <v>138</v>
      </c>
      <c r="C58" s="301">
        <v>78</v>
      </c>
      <c r="D58" s="301">
        <v>79</v>
      </c>
      <c r="E58" s="301">
        <v>78</v>
      </c>
      <c r="F58" s="301">
        <v>77</v>
      </c>
      <c r="G58" s="301">
        <v>75</v>
      </c>
      <c r="H58" s="301">
        <v>75</v>
      </c>
      <c r="I58" s="301">
        <v>78</v>
      </c>
      <c r="J58" s="301">
        <v>77</v>
      </c>
      <c r="K58" s="301">
        <v>79</v>
      </c>
      <c r="L58" s="301">
        <v>78</v>
      </c>
      <c r="M58" s="301">
        <v>80</v>
      </c>
      <c r="N58" s="301">
        <v>76</v>
      </c>
      <c r="O58" s="301">
        <v>78</v>
      </c>
      <c r="P58" s="301">
        <v>79</v>
      </c>
      <c r="Q58" s="301">
        <v>80</v>
      </c>
      <c r="R58" s="301">
        <v>81</v>
      </c>
      <c r="S58" s="301">
        <v>80</v>
      </c>
      <c r="T58" s="301">
        <v>78</v>
      </c>
      <c r="U58" s="301">
        <v>76</v>
      </c>
      <c r="V58" s="301">
        <v>79</v>
      </c>
      <c r="W58" s="301">
        <v>80</v>
      </c>
      <c r="X58" s="301">
        <v>81.5</v>
      </c>
      <c r="Y58" s="301">
        <v>79</v>
      </c>
      <c r="Z58" s="499" t="s">
        <v>237</v>
      </c>
      <c r="AA58" s="301">
        <v>77</v>
      </c>
      <c r="AB58" s="301">
        <v>76</v>
      </c>
      <c r="AC58" s="301">
        <v>76</v>
      </c>
      <c r="AD58" s="301">
        <v>76</v>
      </c>
      <c r="AE58" s="301">
        <v>78</v>
      </c>
      <c r="AF58" s="301">
        <v>79</v>
      </c>
      <c r="AG58" s="301">
        <v>80</v>
      </c>
      <c r="AH58" s="302">
        <f t="shared" si="15"/>
        <v>78.11666666666666</v>
      </c>
      <c r="AJ58" s="305">
        <f>AH58</f>
        <v>78.11666666666666</v>
      </c>
      <c r="AK58" s="306" t="s">
        <v>139</v>
      </c>
    </row>
    <row r="59" spans="1:37" ht="16.5" thickBot="1" x14ac:dyDescent="0.3">
      <c r="A59" s="81"/>
      <c r="B59" s="307" t="s">
        <v>140</v>
      </c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>
        <v>0.5</v>
      </c>
      <c r="U59" s="308"/>
      <c r="V59" s="308"/>
      <c r="W59" s="308"/>
      <c r="X59" s="308"/>
      <c r="Y59" s="308"/>
      <c r="Z59" s="308">
        <v>0.5</v>
      </c>
      <c r="AA59" s="308">
        <v>0.5</v>
      </c>
      <c r="AB59" s="308"/>
      <c r="AC59" s="308"/>
      <c r="AD59" s="308"/>
      <c r="AE59" s="308"/>
      <c r="AF59" s="308"/>
      <c r="AG59" s="308"/>
      <c r="AH59" s="309">
        <f t="shared" si="15"/>
        <v>0.5</v>
      </c>
      <c r="AJ59" s="310">
        <f>AH59</f>
        <v>0.5</v>
      </c>
      <c r="AK59" s="82" t="s">
        <v>141</v>
      </c>
    </row>
    <row r="62" spans="1:37" x14ac:dyDescent="0.25">
      <c r="AG62" s="488" t="s">
        <v>238</v>
      </c>
      <c r="AH62" s="486">
        <f>AH44/AH33</f>
        <v>3.0303142911191128E-2</v>
      </c>
    </row>
    <row r="64" spans="1:37" x14ac:dyDescent="0.25">
      <c r="AG64" s="488" t="s">
        <v>239</v>
      </c>
      <c r="AH64" s="486">
        <f>AH44/AH38</f>
        <v>2.5310214763346165E-2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8:AK38"/>
    <mergeCell ref="AL38:AM38"/>
    <mergeCell ref="AJ30:AM30"/>
  </mergeCells>
  <conditionalFormatting sqref="C42:AG42">
    <cfRule type="cellIs" dxfId="13" priority="12" operator="notEqual">
      <formula>0</formula>
    </cfRule>
  </conditionalFormatting>
  <conditionalFormatting sqref="C42:AG42">
    <cfRule type="cellIs" dxfId="12" priority="11" operator="notEqual">
      <formula>0</formula>
    </cfRule>
  </conditionalFormatting>
  <conditionalFormatting sqref="C30:AH30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0:AG40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8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P48" sqref="P48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14"/>
      <c r="B1" s="515"/>
      <c r="C1" s="316" t="s">
        <v>144</v>
      </c>
      <c r="D1" s="317" t="s">
        <v>63</v>
      </c>
      <c r="E1" s="317" t="s">
        <v>35</v>
      </c>
      <c r="F1" s="317" t="s">
        <v>145</v>
      </c>
      <c r="G1" s="317" t="s">
        <v>112</v>
      </c>
      <c r="H1" s="317" t="s">
        <v>78</v>
      </c>
      <c r="I1" s="317" t="s">
        <v>41</v>
      </c>
      <c r="J1" s="318"/>
      <c r="K1" s="319" t="s">
        <v>135</v>
      </c>
      <c r="L1" s="319" t="s">
        <v>146</v>
      </c>
      <c r="M1" s="319" t="s">
        <v>138</v>
      </c>
      <c r="N1" s="318"/>
      <c r="O1" s="319" t="s">
        <v>147</v>
      </c>
    </row>
    <row r="2" spans="1:15" x14ac:dyDescent="0.25">
      <c r="A2" s="320">
        <f>'Cash Flow'!A8</f>
        <v>44835</v>
      </c>
      <c r="B2" s="355" t="str">
        <f>TEXT(A2,"ddd")</f>
        <v>Sat</v>
      </c>
      <c r="C2" s="321" t="e">
        <f t="array" ref="C2:C32">TRANSPOSE(Pool!C4:AG4)+TRANSPOSE(Pool!#REF!*0.5)</f>
        <v>#REF!</v>
      </c>
      <c r="D2" s="321">
        <f t="array" ref="D2:D32">TRANSPOSE(Pool!C5:AG5)</f>
        <v>0</v>
      </c>
      <c r="E2" s="321">
        <f t="array" ref="E2:E32">TRANSPOSE(Pool!C14:AG14)</f>
        <v>24</v>
      </c>
      <c r="F2" s="321">
        <f t="array" ref="F2:F32">TRANSPOSE(Pool!C15:AG15)</f>
        <v>608.04</v>
      </c>
      <c r="G2" s="321">
        <f t="array" ref="G2:G32">TRANSPOSE(Pool!C16:AG16)</f>
        <v>0</v>
      </c>
      <c r="H2" s="321" t="e">
        <f t="array" ref="H2:H32">TRANSPOSE(Pool!C17:AG17)+TRANSPOSE(Pool!#REF!*0.5)</f>
        <v>#REF!</v>
      </c>
      <c r="I2" s="324">
        <f t="array" ref="I2:I32">TRANSPOSE(Pool!C20:AG20)</f>
        <v>0</v>
      </c>
      <c r="J2" s="327"/>
      <c r="K2" s="328">
        <f t="array" ref="K2:K32">TRANSPOSE(Pool!C56:AG56)</f>
        <v>97</v>
      </c>
      <c r="L2" s="331">
        <f t="array" ref="L2:L32">TRANSPOSE(Pool!C57:AG57)</f>
        <v>87</v>
      </c>
      <c r="M2" s="334">
        <f t="array" ref="M2:M32">TRANSPOSE(Pool!C58:AG58)</f>
        <v>78</v>
      </c>
      <c r="N2" s="327"/>
      <c r="O2" s="338">
        <f t="array" ref="O2:O32">TRANSPOSE(Pool!C49:AG49)</f>
        <v>599</v>
      </c>
    </row>
    <row r="3" spans="1:15" x14ac:dyDescent="0.25">
      <c r="A3" s="341">
        <f t="shared" ref="A3:A32" si="0">SUM(A2+1)</f>
        <v>44836</v>
      </c>
      <c r="B3" s="356" t="str">
        <f>TEXT(A3,"ddd")</f>
        <v>Sun</v>
      </c>
      <c r="C3" s="322" t="e">
        <v>#REF!</v>
      </c>
      <c r="D3" s="322">
        <v>0</v>
      </c>
      <c r="E3" s="322">
        <v>8</v>
      </c>
      <c r="F3" s="322">
        <v>249.5</v>
      </c>
      <c r="G3" s="322">
        <v>0</v>
      </c>
      <c r="H3" s="322" t="e">
        <v>#REF!</v>
      </c>
      <c r="I3" s="325">
        <v>0</v>
      </c>
      <c r="J3" s="327"/>
      <c r="K3" s="329">
        <v>98</v>
      </c>
      <c r="L3" s="332">
        <v>82</v>
      </c>
      <c r="M3" s="335">
        <v>79</v>
      </c>
      <c r="N3" s="327"/>
      <c r="O3" s="339">
        <v>180</v>
      </c>
    </row>
    <row r="4" spans="1:15" x14ac:dyDescent="0.25">
      <c r="A4" s="341">
        <f t="shared" si="0"/>
        <v>44837</v>
      </c>
      <c r="B4" s="356" t="str">
        <f>TEXT(A4,"DDD")</f>
        <v>Mon</v>
      </c>
      <c r="C4" s="322" t="e">
        <v>#REF!</v>
      </c>
      <c r="D4" s="322">
        <v>0</v>
      </c>
      <c r="E4" s="322">
        <v>4</v>
      </c>
      <c r="F4" s="322">
        <v>208.18</v>
      </c>
      <c r="G4" s="322">
        <v>0</v>
      </c>
      <c r="H4" s="322" t="e">
        <v>#REF!</v>
      </c>
      <c r="I4" s="325">
        <v>0</v>
      </c>
      <c r="J4" s="327"/>
      <c r="K4" s="329">
        <v>98</v>
      </c>
      <c r="L4" s="332">
        <v>84</v>
      </c>
      <c r="M4" s="335">
        <v>78</v>
      </c>
      <c r="N4" s="327"/>
      <c r="O4" s="339">
        <v>166</v>
      </c>
    </row>
    <row r="5" spans="1:15" x14ac:dyDescent="0.25">
      <c r="A5" s="341">
        <f t="shared" si="0"/>
        <v>44838</v>
      </c>
      <c r="B5" s="356" t="str">
        <f>TEXT(A5,"ddd")</f>
        <v>Tue</v>
      </c>
      <c r="C5" s="322" t="e">
        <v>#REF!</v>
      </c>
      <c r="D5" s="322">
        <v>0</v>
      </c>
      <c r="E5" s="322">
        <v>106</v>
      </c>
      <c r="F5" s="322">
        <v>333.57</v>
      </c>
      <c r="G5" s="322">
        <v>0</v>
      </c>
      <c r="H5" s="322" t="e">
        <v>#REF!</v>
      </c>
      <c r="I5" s="325">
        <v>0</v>
      </c>
      <c r="J5" s="327"/>
      <c r="K5" s="329">
        <v>98</v>
      </c>
      <c r="L5" s="332">
        <v>86</v>
      </c>
      <c r="M5" s="335">
        <v>77</v>
      </c>
      <c r="N5" s="327"/>
      <c r="O5" s="339">
        <v>410</v>
      </c>
    </row>
    <row r="6" spans="1:15" x14ac:dyDescent="0.25">
      <c r="A6" s="341">
        <f t="shared" si="0"/>
        <v>44839</v>
      </c>
      <c r="B6" s="356" t="str">
        <f>TEXT(A6,"DDD")</f>
        <v>Wed</v>
      </c>
      <c r="C6" s="322" t="e">
        <v>#REF!</v>
      </c>
      <c r="D6" s="322">
        <v>0</v>
      </c>
      <c r="E6" s="322">
        <v>16</v>
      </c>
      <c r="F6" s="322">
        <v>125.77</v>
      </c>
      <c r="G6" s="322">
        <v>0</v>
      </c>
      <c r="H6" s="322" t="e">
        <v>#REF!</v>
      </c>
      <c r="I6" s="325">
        <v>0</v>
      </c>
      <c r="J6" s="327"/>
      <c r="K6" s="329">
        <v>96</v>
      </c>
      <c r="L6" s="332">
        <v>80</v>
      </c>
      <c r="M6" s="335">
        <v>75</v>
      </c>
      <c r="N6" s="327"/>
      <c r="O6" s="339">
        <v>273</v>
      </c>
    </row>
    <row r="7" spans="1:15" x14ac:dyDescent="0.25">
      <c r="A7" s="341">
        <f t="shared" si="0"/>
        <v>44840</v>
      </c>
      <c r="B7" s="356" t="str">
        <f>TEXT(A7,"ddd")</f>
        <v>Thu</v>
      </c>
      <c r="C7" s="322" t="e">
        <v>#REF!</v>
      </c>
      <c r="D7" s="322">
        <v>0</v>
      </c>
      <c r="E7" s="322">
        <v>65</v>
      </c>
      <c r="F7" s="322">
        <v>260.57</v>
      </c>
      <c r="G7" s="322">
        <v>0</v>
      </c>
      <c r="H7" s="322" t="e">
        <v>#REF!</v>
      </c>
      <c r="I7" s="325">
        <v>0</v>
      </c>
      <c r="J7" s="327"/>
      <c r="K7" s="329">
        <v>98</v>
      </c>
      <c r="L7" s="332">
        <v>84</v>
      </c>
      <c r="M7" s="335">
        <v>75</v>
      </c>
      <c r="N7" s="327"/>
      <c r="O7" s="339">
        <v>368</v>
      </c>
    </row>
    <row r="8" spans="1:15" x14ac:dyDescent="0.25">
      <c r="A8" s="341">
        <f t="shared" si="0"/>
        <v>44841</v>
      </c>
      <c r="B8" s="356" t="str">
        <f>TEXT(A8,"DDD")</f>
        <v>Fri</v>
      </c>
      <c r="C8" s="322" t="e">
        <v>#REF!</v>
      </c>
      <c r="D8" s="322">
        <v>0</v>
      </c>
      <c r="E8" s="322">
        <v>12</v>
      </c>
      <c r="F8" s="322">
        <v>295.36</v>
      </c>
      <c r="G8" s="322">
        <v>0</v>
      </c>
      <c r="H8" s="322" t="e">
        <v>#REF!</v>
      </c>
      <c r="I8" s="325">
        <v>0</v>
      </c>
      <c r="J8" s="327"/>
      <c r="K8" s="329">
        <v>98</v>
      </c>
      <c r="L8" s="332">
        <v>84</v>
      </c>
      <c r="M8" s="335">
        <v>78</v>
      </c>
      <c r="N8" s="327"/>
      <c r="O8" s="339">
        <v>399</v>
      </c>
    </row>
    <row r="9" spans="1:15" x14ac:dyDescent="0.25">
      <c r="A9" s="341">
        <f t="shared" si="0"/>
        <v>44842</v>
      </c>
      <c r="B9" s="356" t="str">
        <f>TEXT(A9,"ddd")</f>
        <v>Sat</v>
      </c>
      <c r="C9" s="322" t="e">
        <v>#REF!</v>
      </c>
      <c r="D9" s="322">
        <v>0</v>
      </c>
      <c r="E9" s="322">
        <v>16</v>
      </c>
      <c r="F9" s="322">
        <v>743.25</v>
      </c>
      <c r="G9" s="322">
        <v>0</v>
      </c>
      <c r="H9" s="322" t="e">
        <v>#REF!</v>
      </c>
      <c r="I9" s="325">
        <v>0</v>
      </c>
      <c r="J9" s="327"/>
      <c r="K9" s="329">
        <v>97</v>
      </c>
      <c r="L9" s="332">
        <v>85</v>
      </c>
      <c r="M9" s="336">
        <v>77</v>
      </c>
      <c r="N9" s="327"/>
      <c r="O9" s="339">
        <v>729</v>
      </c>
    </row>
    <row r="10" spans="1:15" x14ac:dyDescent="0.25">
      <c r="A10" s="341">
        <f t="shared" si="0"/>
        <v>44843</v>
      </c>
      <c r="B10" s="356" t="str">
        <f>TEXT(A10,"DDD")</f>
        <v>Sun</v>
      </c>
      <c r="C10" s="322" t="e">
        <v>#REF!</v>
      </c>
      <c r="D10" s="322">
        <v>0</v>
      </c>
      <c r="E10" s="322">
        <v>28</v>
      </c>
      <c r="F10" s="322">
        <v>586.22</v>
      </c>
      <c r="G10" s="322">
        <v>0</v>
      </c>
      <c r="H10" s="322" t="e">
        <v>#REF!</v>
      </c>
      <c r="I10" s="325">
        <v>0</v>
      </c>
      <c r="J10" s="327"/>
      <c r="K10" s="329">
        <v>98</v>
      </c>
      <c r="L10" s="332">
        <v>84</v>
      </c>
      <c r="M10" s="335">
        <v>79</v>
      </c>
      <c r="N10" s="327"/>
      <c r="O10" s="339">
        <v>555</v>
      </c>
    </row>
    <row r="11" spans="1:15" x14ac:dyDescent="0.25">
      <c r="A11" s="341">
        <f t="shared" si="0"/>
        <v>44844</v>
      </c>
      <c r="B11" s="356" t="str">
        <f>TEXT(A11,"ddd")</f>
        <v>Mon</v>
      </c>
      <c r="C11" s="322" t="e">
        <v>#REF!</v>
      </c>
      <c r="D11" s="322">
        <v>0</v>
      </c>
      <c r="E11" s="322">
        <v>176</v>
      </c>
      <c r="F11" s="322">
        <v>244.13</v>
      </c>
      <c r="G11" s="322">
        <v>0</v>
      </c>
      <c r="H11" s="322" t="e">
        <v>#REF!</v>
      </c>
      <c r="I11" s="325">
        <v>0</v>
      </c>
      <c r="J11" s="327"/>
      <c r="K11" s="329">
        <v>99</v>
      </c>
      <c r="L11" s="332">
        <v>85</v>
      </c>
      <c r="M11" s="335">
        <v>78</v>
      </c>
      <c r="N11" s="327"/>
      <c r="O11" s="339">
        <v>315</v>
      </c>
    </row>
    <row r="12" spans="1:15" x14ac:dyDescent="0.25">
      <c r="A12" s="341">
        <f t="shared" si="0"/>
        <v>44845</v>
      </c>
      <c r="B12" s="356" t="str">
        <f>TEXT(A12,"DDD")</f>
        <v>Tue</v>
      </c>
      <c r="C12" s="322" t="e">
        <v>#REF!</v>
      </c>
      <c r="D12" s="322">
        <v>0</v>
      </c>
      <c r="E12" s="322">
        <v>26</v>
      </c>
      <c r="F12" s="322">
        <v>170.08</v>
      </c>
      <c r="G12" s="322">
        <v>0</v>
      </c>
      <c r="H12" s="322" t="e">
        <v>#REF!</v>
      </c>
      <c r="I12" s="325">
        <v>0</v>
      </c>
      <c r="J12" s="327"/>
      <c r="K12" s="329">
        <v>95</v>
      </c>
      <c r="L12" s="332">
        <v>83</v>
      </c>
      <c r="M12" s="335">
        <v>80</v>
      </c>
      <c r="N12" s="327"/>
      <c r="O12" s="339">
        <v>288</v>
      </c>
    </row>
    <row r="13" spans="1:15" x14ac:dyDescent="0.25">
      <c r="A13" s="341">
        <f t="shared" si="0"/>
        <v>44846</v>
      </c>
      <c r="B13" s="356" t="str">
        <f>TEXT(A13,"ddd")</f>
        <v>Wed</v>
      </c>
      <c r="C13" s="322" t="e">
        <v>#REF!</v>
      </c>
      <c r="D13" s="322">
        <v>0</v>
      </c>
      <c r="E13" s="322">
        <v>77</v>
      </c>
      <c r="F13" s="322">
        <v>260.39999999999998</v>
      </c>
      <c r="G13" s="322">
        <v>0</v>
      </c>
      <c r="H13" s="322" t="e">
        <v>#REF!</v>
      </c>
      <c r="I13" s="325">
        <v>0</v>
      </c>
      <c r="J13" s="327"/>
      <c r="K13" s="329">
        <v>98</v>
      </c>
      <c r="L13" s="332">
        <v>75</v>
      </c>
      <c r="M13" s="335">
        <v>76</v>
      </c>
      <c r="N13" s="327"/>
      <c r="O13" s="339">
        <v>261</v>
      </c>
    </row>
    <row r="14" spans="1:15" x14ac:dyDescent="0.25">
      <c r="A14" s="341">
        <f t="shared" si="0"/>
        <v>44847</v>
      </c>
      <c r="B14" s="356" t="str">
        <f>TEXT(A14,"DDD")</f>
        <v>Thu</v>
      </c>
      <c r="C14" s="322" t="e">
        <v>#REF!</v>
      </c>
      <c r="D14" s="322">
        <v>0</v>
      </c>
      <c r="E14" s="322">
        <v>28</v>
      </c>
      <c r="F14" s="322">
        <v>393.67</v>
      </c>
      <c r="G14" s="322">
        <v>0</v>
      </c>
      <c r="H14" s="322" t="e">
        <v>#REF!</v>
      </c>
      <c r="I14" s="325">
        <v>0</v>
      </c>
      <c r="J14" s="327"/>
      <c r="K14" s="329">
        <v>98</v>
      </c>
      <c r="L14" s="332">
        <v>81</v>
      </c>
      <c r="M14" s="335">
        <v>78</v>
      </c>
      <c r="N14" s="327"/>
      <c r="O14" s="339">
        <v>436</v>
      </c>
    </row>
    <row r="15" spans="1:15" x14ac:dyDescent="0.25">
      <c r="A15" s="341">
        <f t="shared" si="0"/>
        <v>44848</v>
      </c>
      <c r="B15" s="356" t="str">
        <f>TEXT(A15,"ddd")</f>
        <v>Fri</v>
      </c>
      <c r="C15" s="322" t="e">
        <v>#REF!</v>
      </c>
      <c r="D15" s="322">
        <v>0</v>
      </c>
      <c r="E15" s="322">
        <v>94</v>
      </c>
      <c r="F15" s="322">
        <v>436.89</v>
      </c>
      <c r="G15" s="322">
        <v>0</v>
      </c>
      <c r="H15" s="322" t="e">
        <v>#REF!</v>
      </c>
      <c r="I15" s="325">
        <v>0</v>
      </c>
      <c r="J15" s="327"/>
      <c r="K15" s="329">
        <v>98</v>
      </c>
      <c r="L15" s="332">
        <v>81</v>
      </c>
      <c r="M15" s="335">
        <v>79</v>
      </c>
      <c r="N15" s="327"/>
      <c r="O15" s="339">
        <v>583</v>
      </c>
    </row>
    <row r="16" spans="1:15" x14ac:dyDescent="0.25">
      <c r="A16" s="341">
        <f t="shared" si="0"/>
        <v>44849</v>
      </c>
      <c r="B16" s="356" t="str">
        <f>TEXT(A16,"DDD")</f>
        <v>Sat</v>
      </c>
      <c r="C16" s="322" t="e">
        <v>#REF!</v>
      </c>
      <c r="D16" s="322">
        <v>0</v>
      </c>
      <c r="E16" s="322">
        <v>20</v>
      </c>
      <c r="F16" s="322">
        <v>577.08000000000004</v>
      </c>
      <c r="G16" s="322">
        <v>0</v>
      </c>
      <c r="H16" s="322" t="e">
        <v>#REF!</v>
      </c>
      <c r="I16" s="325">
        <v>0</v>
      </c>
      <c r="J16" s="327"/>
      <c r="K16" s="329">
        <v>98</v>
      </c>
      <c r="L16" s="332">
        <v>82</v>
      </c>
      <c r="M16" s="335">
        <v>80</v>
      </c>
      <c r="N16" s="327"/>
      <c r="O16" s="339">
        <v>797</v>
      </c>
    </row>
    <row r="17" spans="1:15" x14ac:dyDescent="0.25">
      <c r="A17" s="341">
        <f t="shared" si="0"/>
        <v>44850</v>
      </c>
      <c r="B17" s="356" t="str">
        <f>TEXT(A17,"ddd")</f>
        <v>Sun</v>
      </c>
      <c r="C17" s="322" t="e">
        <v>#REF!</v>
      </c>
      <c r="D17" s="322">
        <v>0</v>
      </c>
      <c r="E17" s="322">
        <v>20</v>
      </c>
      <c r="F17" s="322">
        <v>356.6</v>
      </c>
      <c r="G17" s="322">
        <v>0</v>
      </c>
      <c r="H17" s="322" t="e">
        <v>#REF!</v>
      </c>
      <c r="I17" s="325">
        <v>0</v>
      </c>
      <c r="J17" s="327"/>
      <c r="K17" s="329">
        <v>98</v>
      </c>
      <c r="L17" s="332">
        <v>83</v>
      </c>
      <c r="M17" s="335">
        <v>81</v>
      </c>
      <c r="N17" s="327"/>
      <c r="O17" s="339">
        <v>437</v>
      </c>
    </row>
    <row r="18" spans="1:15" x14ac:dyDescent="0.25">
      <c r="A18" s="341">
        <f t="shared" si="0"/>
        <v>44851</v>
      </c>
      <c r="B18" s="356" t="str">
        <f>TEXT(A18,"DDD")</f>
        <v>Mon</v>
      </c>
      <c r="C18" s="322" t="e">
        <v>#REF!</v>
      </c>
      <c r="D18" s="322">
        <v>0</v>
      </c>
      <c r="E18" s="322">
        <v>142</v>
      </c>
      <c r="F18" s="322">
        <v>358.15</v>
      </c>
      <c r="G18" s="322">
        <v>0</v>
      </c>
      <c r="H18" s="322" t="e">
        <v>#REF!</v>
      </c>
      <c r="I18" s="325">
        <v>0</v>
      </c>
      <c r="J18" s="327"/>
      <c r="K18" s="329">
        <v>98</v>
      </c>
      <c r="L18" s="332">
        <v>84</v>
      </c>
      <c r="M18" s="335">
        <v>80</v>
      </c>
      <c r="N18" s="327"/>
      <c r="O18" s="339">
        <v>268</v>
      </c>
    </row>
    <row r="19" spans="1:15" x14ac:dyDescent="0.25">
      <c r="A19" s="341">
        <f t="shared" si="0"/>
        <v>44852</v>
      </c>
      <c r="B19" s="356" t="str">
        <f>TEXT(A19,"ddd")</f>
        <v>Tue</v>
      </c>
      <c r="C19" s="322" t="e">
        <v>#REF!</v>
      </c>
      <c r="D19" s="322">
        <v>0</v>
      </c>
      <c r="E19" s="322">
        <v>0</v>
      </c>
      <c r="F19" s="322">
        <v>221.02</v>
      </c>
      <c r="G19" s="322">
        <v>0</v>
      </c>
      <c r="H19" s="322" t="e">
        <v>#REF!</v>
      </c>
      <c r="I19" s="325">
        <v>0</v>
      </c>
      <c r="J19" s="327"/>
      <c r="K19" s="329" t="str">
        <v>closed</v>
      </c>
      <c r="L19" s="332" t="str">
        <v>closed</v>
      </c>
      <c r="M19" s="335">
        <v>78</v>
      </c>
      <c r="N19" s="327"/>
      <c r="O19" s="339">
        <v>114</v>
      </c>
    </row>
    <row r="20" spans="1:15" x14ac:dyDescent="0.25">
      <c r="A20" s="341">
        <f t="shared" si="0"/>
        <v>44853</v>
      </c>
      <c r="B20" s="356" t="str">
        <f>TEXT(A20,"DDD")</f>
        <v>Wed</v>
      </c>
      <c r="C20" s="322" t="e">
        <v>#REF!</v>
      </c>
      <c r="D20" s="322">
        <v>0</v>
      </c>
      <c r="E20" s="322">
        <v>23</v>
      </c>
      <c r="F20" s="322">
        <v>252.43</v>
      </c>
      <c r="G20" s="322">
        <v>0</v>
      </c>
      <c r="H20" s="322" t="e">
        <v>#REF!</v>
      </c>
      <c r="I20" s="325">
        <v>0</v>
      </c>
      <c r="J20" s="327"/>
      <c r="K20" s="329">
        <v>95</v>
      </c>
      <c r="L20" s="332" t="str">
        <v>closed</v>
      </c>
      <c r="M20" s="335">
        <v>76</v>
      </c>
      <c r="N20" s="327"/>
      <c r="O20" s="339">
        <v>234</v>
      </c>
    </row>
    <row r="21" spans="1:15" x14ac:dyDescent="0.25">
      <c r="A21" s="341">
        <f t="shared" si="0"/>
        <v>44854</v>
      </c>
      <c r="B21" s="356" t="str">
        <f>TEXT(A21,"ddd")</f>
        <v>Thu</v>
      </c>
      <c r="C21" s="322" t="e">
        <v>#REF!</v>
      </c>
      <c r="D21" s="322">
        <v>0</v>
      </c>
      <c r="E21" s="322">
        <v>0</v>
      </c>
      <c r="F21" s="322">
        <v>283.51</v>
      </c>
      <c r="G21" s="322">
        <v>0</v>
      </c>
      <c r="H21" s="322" t="e">
        <v>#REF!</v>
      </c>
      <c r="I21" s="325">
        <v>0</v>
      </c>
      <c r="J21" s="327"/>
      <c r="K21" s="329">
        <v>98</v>
      </c>
      <c r="L21" s="332">
        <v>85</v>
      </c>
      <c r="M21" s="335">
        <v>79</v>
      </c>
      <c r="N21" s="327"/>
      <c r="O21" s="339">
        <v>296</v>
      </c>
    </row>
    <row r="22" spans="1:15" x14ac:dyDescent="0.25">
      <c r="A22" s="341">
        <f t="shared" si="0"/>
        <v>44855</v>
      </c>
      <c r="B22" s="356" t="str">
        <f>TEXT(A22,"DDD")</f>
        <v>Fri</v>
      </c>
      <c r="C22" s="322" t="e">
        <v>#REF!</v>
      </c>
      <c r="D22" s="322">
        <v>0</v>
      </c>
      <c r="E22" s="322">
        <v>30</v>
      </c>
      <c r="F22" s="322">
        <v>374.42</v>
      </c>
      <c r="G22" s="322">
        <v>0</v>
      </c>
      <c r="H22" s="322" t="e">
        <v>#REF!</v>
      </c>
      <c r="I22" s="325">
        <v>0</v>
      </c>
      <c r="J22" s="327"/>
      <c r="K22" s="329">
        <v>98</v>
      </c>
      <c r="L22" s="332">
        <v>86</v>
      </c>
      <c r="M22" s="335">
        <v>80</v>
      </c>
      <c r="N22" s="327"/>
      <c r="O22" s="339">
        <v>424</v>
      </c>
    </row>
    <row r="23" spans="1:15" x14ac:dyDescent="0.25">
      <c r="A23" s="341">
        <f t="shared" si="0"/>
        <v>44856</v>
      </c>
      <c r="B23" s="356" t="str">
        <f>TEXT(A23,"ddd")</f>
        <v>Sat</v>
      </c>
      <c r="C23" s="322" t="e">
        <v>#REF!</v>
      </c>
      <c r="D23" s="322">
        <v>0</v>
      </c>
      <c r="E23" s="322">
        <v>8</v>
      </c>
      <c r="F23" s="322">
        <v>404.42</v>
      </c>
      <c r="G23" s="322">
        <v>0</v>
      </c>
      <c r="H23" s="322" t="e">
        <v>#REF!</v>
      </c>
      <c r="I23" s="325">
        <v>0</v>
      </c>
      <c r="J23" s="327"/>
      <c r="K23" s="329">
        <v>97</v>
      </c>
      <c r="L23" s="332">
        <v>88</v>
      </c>
      <c r="M23" s="335">
        <v>81.5</v>
      </c>
      <c r="N23" s="327"/>
      <c r="O23" s="339">
        <v>452</v>
      </c>
    </row>
    <row r="24" spans="1:15" x14ac:dyDescent="0.25">
      <c r="A24" s="341">
        <f t="shared" si="0"/>
        <v>44857</v>
      </c>
      <c r="B24" s="356" t="str">
        <f>TEXT(A24,"DDD")</f>
        <v>Sun</v>
      </c>
      <c r="C24" s="322" t="e">
        <v>#REF!</v>
      </c>
      <c r="D24" s="322">
        <v>0</v>
      </c>
      <c r="E24" s="322">
        <v>0</v>
      </c>
      <c r="F24" s="322">
        <v>150.84</v>
      </c>
      <c r="G24" s="322">
        <v>0</v>
      </c>
      <c r="H24" s="322" t="e">
        <v>#REF!</v>
      </c>
      <c r="I24" s="325">
        <v>0</v>
      </c>
      <c r="J24" s="327"/>
      <c r="K24" s="329">
        <v>98</v>
      </c>
      <c r="L24" s="332">
        <v>83</v>
      </c>
      <c r="M24" s="335">
        <v>79</v>
      </c>
      <c r="N24" s="327"/>
      <c r="O24" s="339">
        <v>190</v>
      </c>
    </row>
    <row r="25" spans="1:15" x14ac:dyDescent="0.25">
      <c r="A25" s="341">
        <f t="shared" si="0"/>
        <v>44858</v>
      </c>
      <c r="B25" s="356" t="str">
        <f>TEXT(A25,"ddd")</f>
        <v>Mon</v>
      </c>
      <c r="C25" s="322" t="e">
        <v>#REF!</v>
      </c>
      <c r="D25" s="322">
        <v>0</v>
      </c>
      <c r="E25" s="322">
        <v>61</v>
      </c>
      <c r="F25" s="322">
        <v>63.48</v>
      </c>
      <c r="G25" s="322">
        <v>0</v>
      </c>
      <c r="H25" s="322" t="e">
        <v>#REF!</v>
      </c>
      <c r="I25" s="325">
        <v>0</v>
      </c>
      <c r="J25" s="327"/>
      <c r="K25" s="329">
        <v>94</v>
      </c>
      <c r="L25" s="332" t="str">
        <v>closed</v>
      </c>
      <c r="M25" s="335" t="str">
        <v>closed</v>
      </c>
      <c r="N25" s="327"/>
      <c r="O25" s="339">
        <v>108</v>
      </c>
    </row>
    <row r="26" spans="1:15" x14ac:dyDescent="0.25">
      <c r="A26" s="341">
        <f t="shared" si="0"/>
        <v>44859</v>
      </c>
      <c r="B26" s="356" t="str">
        <f>TEXT(A26,"DDD")</f>
        <v>Tue</v>
      </c>
      <c r="C26" s="322" t="e">
        <v>#REF!</v>
      </c>
      <c r="D26" s="322">
        <v>0</v>
      </c>
      <c r="E26" s="322">
        <v>0</v>
      </c>
      <c r="F26" s="322">
        <v>45.48</v>
      </c>
      <c r="G26" s="322">
        <v>0</v>
      </c>
      <c r="H26" s="322" t="e">
        <v>#REF!</v>
      </c>
      <c r="I26" s="325">
        <v>0</v>
      </c>
      <c r="J26" s="327"/>
      <c r="K26" s="329" t="str">
        <v>closed</v>
      </c>
      <c r="L26" s="332" t="str">
        <v>closed</v>
      </c>
      <c r="M26" s="335">
        <v>77</v>
      </c>
      <c r="N26" s="327"/>
      <c r="O26" s="339">
        <v>93</v>
      </c>
    </row>
    <row r="27" spans="1:15" x14ac:dyDescent="0.25">
      <c r="A27" s="341">
        <f t="shared" si="0"/>
        <v>44860</v>
      </c>
      <c r="B27" s="356" t="str">
        <f>TEXT(A27,"ddd")</f>
        <v>Wed</v>
      </c>
      <c r="C27" s="322" t="e">
        <v>#REF!</v>
      </c>
      <c r="D27" s="322">
        <v>0</v>
      </c>
      <c r="E27" s="322">
        <v>0</v>
      </c>
      <c r="F27" s="322">
        <v>115.21</v>
      </c>
      <c r="G27" s="322">
        <v>0</v>
      </c>
      <c r="H27" s="322" t="e">
        <v>#REF!</v>
      </c>
      <c r="I27" s="325">
        <v>0</v>
      </c>
      <c r="J27" s="327"/>
      <c r="K27" s="329">
        <v>96</v>
      </c>
      <c r="L27" s="332" t="str">
        <v>closed</v>
      </c>
      <c r="M27" s="335">
        <v>76</v>
      </c>
      <c r="N27" s="327"/>
      <c r="O27" s="339">
        <v>116</v>
      </c>
    </row>
    <row r="28" spans="1:15" x14ac:dyDescent="0.25">
      <c r="A28" s="341">
        <f t="shared" si="0"/>
        <v>44861</v>
      </c>
      <c r="B28" s="356" t="str">
        <f>TEXT(A28,"DDD")</f>
        <v>Thu</v>
      </c>
      <c r="C28" s="322" t="e">
        <v>#REF!</v>
      </c>
      <c r="D28" s="322">
        <v>0</v>
      </c>
      <c r="E28" s="322">
        <v>32</v>
      </c>
      <c r="F28" s="322">
        <v>76.44</v>
      </c>
      <c r="G28" s="322">
        <v>0</v>
      </c>
      <c r="H28" s="322" t="e">
        <v>#REF!</v>
      </c>
      <c r="I28" s="325">
        <v>0</v>
      </c>
      <c r="J28" s="327"/>
      <c r="K28" s="329">
        <v>97</v>
      </c>
      <c r="L28" s="332" t="str">
        <v>closed</v>
      </c>
      <c r="M28" s="335">
        <v>76</v>
      </c>
      <c r="N28" s="327"/>
      <c r="O28" s="339">
        <v>89</v>
      </c>
    </row>
    <row r="29" spans="1:15" x14ac:dyDescent="0.25">
      <c r="A29" s="341">
        <f t="shared" si="0"/>
        <v>44862</v>
      </c>
      <c r="B29" s="356" t="str">
        <f>TEXT(A29,"ddd")</f>
        <v>Fri</v>
      </c>
      <c r="C29" s="322" t="e">
        <v>#REF!</v>
      </c>
      <c r="D29" s="322">
        <v>0</v>
      </c>
      <c r="E29" s="322">
        <v>19</v>
      </c>
      <c r="F29" s="322">
        <v>117.3</v>
      </c>
      <c r="G29" s="322">
        <v>0</v>
      </c>
      <c r="H29" s="322" t="e">
        <v>#REF!</v>
      </c>
      <c r="I29" s="325">
        <v>0</v>
      </c>
      <c r="J29" s="327"/>
      <c r="K29" s="329">
        <v>97</v>
      </c>
      <c r="L29" s="332" t="str">
        <v>closed</v>
      </c>
      <c r="M29" s="335">
        <v>76</v>
      </c>
      <c r="N29" s="327"/>
      <c r="O29" s="339">
        <v>213</v>
      </c>
    </row>
    <row r="30" spans="1:15" x14ac:dyDescent="0.25">
      <c r="A30" s="341">
        <f t="shared" si="0"/>
        <v>44863</v>
      </c>
      <c r="B30" s="356" t="str">
        <f>TEXT(A30,"ddd")</f>
        <v>Sat</v>
      </c>
      <c r="C30" s="322" t="e">
        <v>#REF!</v>
      </c>
      <c r="D30" s="322">
        <v>0</v>
      </c>
      <c r="E30" s="322">
        <v>0</v>
      </c>
      <c r="F30" s="322">
        <v>371.21</v>
      </c>
      <c r="G30" s="322">
        <v>0</v>
      </c>
      <c r="H30" s="322" t="e">
        <v>#REF!</v>
      </c>
      <c r="I30" s="325">
        <v>0</v>
      </c>
      <c r="J30" s="327"/>
      <c r="K30" s="329">
        <v>95</v>
      </c>
      <c r="L30" s="332">
        <v>96</v>
      </c>
      <c r="M30" s="335">
        <v>78</v>
      </c>
      <c r="N30" s="327"/>
      <c r="O30" s="339">
        <v>375</v>
      </c>
    </row>
    <row r="31" spans="1:15" x14ac:dyDescent="0.25">
      <c r="A31" s="341">
        <f t="shared" si="0"/>
        <v>44864</v>
      </c>
      <c r="B31" s="356" t="str">
        <f>TEXT(A31,"ddd")</f>
        <v>Sun</v>
      </c>
      <c r="C31" s="322" t="e">
        <v>#REF!</v>
      </c>
      <c r="D31" s="322">
        <v>0</v>
      </c>
      <c r="E31" s="322">
        <v>0</v>
      </c>
      <c r="F31" s="322">
        <v>79.540000000000006</v>
      </c>
      <c r="G31" s="322">
        <v>0</v>
      </c>
      <c r="H31" s="322" t="e">
        <v>#REF!</v>
      </c>
      <c r="I31" s="325">
        <v>0</v>
      </c>
      <c r="J31" s="327"/>
      <c r="K31" s="329">
        <v>95</v>
      </c>
      <c r="L31" s="332">
        <v>94</v>
      </c>
      <c r="M31" s="335">
        <v>79</v>
      </c>
      <c r="N31" s="327"/>
      <c r="O31" s="339">
        <v>276</v>
      </c>
    </row>
    <row r="32" spans="1:15" ht="15.75" thickBot="1" x14ac:dyDescent="0.3">
      <c r="A32" s="342">
        <f t="shared" si="0"/>
        <v>44865</v>
      </c>
      <c r="B32" s="357" t="str">
        <f>TEXT(A32,"ddd")</f>
        <v>Mon</v>
      </c>
      <c r="C32" s="323" t="e">
        <v>#REF!</v>
      </c>
      <c r="D32" s="323">
        <v>0</v>
      </c>
      <c r="E32" s="323">
        <v>45</v>
      </c>
      <c r="F32" s="323">
        <v>44.480000000000004</v>
      </c>
      <c r="G32" s="323">
        <v>0</v>
      </c>
      <c r="H32" s="323" t="e">
        <v>#REF!</v>
      </c>
      <c r="I32" s="326">
        <v>0</v>
      </c>
      <c r="J32" s="327"/>
      <c r="K32" s="330">
        <v>98</v>
      </c>
      <c r="L32" s="333">
        <v>94</v>
      </c>
      <c r="M32" s="337">
        <v>80</v>
      </c>
      <c r="N32" s="327"/>
      <c r="O32" s="340">
        <v>91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 t="e">
        <f t="shared" ref="C34:I34" si="1">SUM(C2:C33)</f>
        <v>#REF!</v>
      </c>
      <c r="D34" s="345">
        <f t="shared" si="1"/>
        <v>0</v>
      </c>
      <c r="E34" s="345">
        <f t="shared" si="1"/>
        <v>1080</v>
      </c>
      <c r="F34" s="345">
        <f t="shared" si="1"/>
        <v>8807.24</v>
      </c>
      <c r="G34" s="345">
        <f t="shared" si="1"/>
        <v>0</v>
      </c>
      <c r="H34" s="345" t="e">
        <f t="shared" si="1"/>
        <v>#REF!</v>
      </c>
      <c r="I34" s="346">
        <f t="shared" si="1"/>
        <v>0</v>
      </c>
      <c r="J34" s="60"/>
      <c r="K34" s="347">
        <f>Pool!AJ56</f>
        <v>97.172413793103445</v>
      </c>
      <c r="L34" s="348">
        <f>Pool!AJ57</f>
        <v>84.833333333333329</v>
      </c>
      <c r="M34" s="349">
        <f>Pool!AJ58</f>
        <v>78.11666666666666</v>
      </c>
      <c r="N34" s="102"/>
      <c r="O34" s="350">
        <f>SUM(O2:O33)</f>
        <v>10135</v>
      </c>
    </row>
    <row r="37" spans="1:15" x14ac:dyDescent="0.25">
      <c r="A37" s="351" t="s">
        <v>148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149</v>
      </c>
      <c r="D38" s="351">
        <v>100</v>
      </c>
      <c r="E38" s="351"/>
    </row>
    <row r="39" spans="1:15" x14ac:dyDescent="0.25">
      <c r="A39" s="351"/>
      <c r="B39" s="352" t="s">
        <v>150</v>
      </c>
      <c r="C39" s="352" t="s">
        <v>151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152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20"/>
  <sheetViews>
    <sheetView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K23" sqref="AK23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220</v>
      </c>
      <c r="B1" s="378" t="str">
        <f>'Cash Flow'!C1</f>
        <v>October</v>
      </c>
      <c r="C1" s="228" t="str">
        <f t="array" ref="C1:AG1">TRANSPOSE('Cash Flow'!B8:B38)</f>
        <v>Sat</v>
      </c>
      <c r="D1" s="228" t="str">
        <v>Sun</v>
      </c>
      <c r="E1" s="228" t="str">
        <v>Mon</v>
      </c>
      <c r="F1" s="228" t="str">
        <v>Tue</v>
      </c>
      <c r="G1" s="228" t="str">
        <v>Wed</v>
      </c>
      <c r="H1" s="228" t="str">
        <v>Thu</v>
      </c>
      <c r="I1" s="228" t="str">
        <v>Fri</v>
      </c>
      <c r="J1" s="228" t="str">
        <v>Sat</v>
      </c>
      <c r="K1" s="228" t="str">
        <v>Sun</v>
      </c>
      <c r="L1" s="228" t="str">
        <v>Mon</v>
      </c>
      <c r="M1" s="228" t="str">
        <v>Tue</v>
      </c>
      <c r="N1" s="228" t="str">
        <v>Wed</v>
      </c>
      <c r="O1" s="228" t="str">
        <v>Thu</v>
      </c>
      <c r="P1" s="228" t="str">
        <v>Fri</v>
      </c>
      <c r="Q1" s="228" t="str">
        <v>Sat</v>
      </c>
      <c r="R1" s="228" t="str">
        <v>Sun</v>
      </c>
      <c r="S1" s="228" t="str">
        <v>Mon</v>
      </c>
      <c r="T1" s="228" t="str">
        <v>Tue</v>
      </c>
      <c r="U1" s="228" t="str">
        <v>Wed</v>
      </c>
      <c r="V1" s="228" t="str">
        <v>Thu</v>
      </c>
      <c r="W1" s="228" t="str">
        <v>Fri</v>
      </c>
      <c r="X1" s="228" t="str">
        <v>Sat</v>
      </c>
      <c r="Y1" s="228" t="str">
        <v>Sun</v>
      </c>
      <c r="Z1" s="228" t="str">
        <v>Mon</v>
      </c>
      <c r="AA1" s="228" t="str">
        <v>Tue</v>
      </c>
      <c r="AB1" s="228" t="str">
        <v>Wed</v>
      </c>
      <c r="AC1" s="228" t="str">
        <v>Thu</v>
      </c>
      <c r="AD1" s="228" t="str">
        <v>Fri</v>
      </c>
      <c r="AE1" s="228" t="str">
        <v>Sat</v>
      </c>
      <c r="AF1" s="228" t="str">
        <v>Sun</v>
      </c>
      <c r="AG1" s="228" t="str">
        <v>Mon</v>
      </c>
    </row>
    <row r="2" spans="1:40" s="60" customFormat="1" ht="16.5" thickBot="1" x14ac:dyDescent="0.3">
      <c r="A2" s="63" t="s">
        <v>66</v>
      </c>
      <c r="B2" s="64" t="s">
        <v>131</v>
      </c>
      <c r="C2" s="106">
        <f>'Cash Flow'!A8</f>
        <v>44835</v>
      </c>
      <c r="D2" s="106">
        <f>C2+1</f>
        <v>44836</v>
      </c>
      <c r="E2" s="106">
        <f>D2+1</f>
        <v>44837</v>
      </c>
      <c r="F2" s="106">
        <f t="shared" ref="F2:AG2" si="0">E2+1</f>
        <v>44838</v>
      </c>
      <c r="G2" s="106">
        <f t="shared" si="0"/>
        <v>44839</v>
      </c>
      <c r="H2" s="106">
        <f t="shared" si="0"/>
        <v>44840</v>
      </c>
      <c r="I2" s="106">
        <f t="shared" si="0"/>
        <v>44841</v>
      </c>
      <c r="J2" s="106">
        <f t="shared" si="0"/>
        <v>44842</v>
      </c>
      <c r="K2" s="106">
        <f t="shared" si="0"/>
        <v>44843</v>
      </c>
      <c r="L2" s="106">
        <f t="shared" si="0"/>
        <v>44844</v>
      </c>
      <c r="M2" s="106">
        <f t="shared" si="0"/>
        <v>44845</v>
      </c>
      <c r="N2" s="106">
        <f t="shared" si="0"/>
        <v>44846</v>
      </c>
      <c r="O2" s="106">
        <f t="shared" si="0"/>
        <v>44847</v>
      </c>
      <c r="P2" s="106">
        <f t="shared" si="0"/>
        <v>44848</v>
      </c>
      <c r="Q2" s="106">
        <f t="shared" si="0"/>
        <v>44849</v>
      </c>
      <c r="R2" s="106">
        <f t="shared" si="0"/>
        <v>44850</v>
      </c>
      <c r="S2" s="106">
        <f t="shared" si="0"/>
        <v>44851</v>
      </c>
      <c r="T2" s="106">
        <f t="shared" si="0"/>
        <v>44852</v>
      </c>
      <c r="U2" s="106">
        <f t="shared" si="0"/>
        <v>44853</v>
      </c>
      <c r="V2" s="106">
        <f t="shared" si="0"/>
        <v>44854</v>
      </c>
      <c r="W2" s="106">
        <f t="shared" si="0"/>
        <v>44855</v>
      </c>
      <c r="X2" s="106">
        <f t="shared" si="0"/>
        <v>44856</v>
      </c>
      <c r="Y2" s="106">
        <f t="shared" si="0"/>
        <v>44857</v>
      </c>
      <c r="Z2" s="106">
        <f t="shared" si="0"/>
        <v>44858</v>
      </c>
      <c r="AA2" s="106">
        <f t="shared" si="0"/>
        <v>44859</v>
      </c>
      <c r="AB2" s="106">
        <f t="shared" si="0"/>
        <v>44860</v>
      </c>
      <c r="AC2" s="106">
        <f t="shared" si="0"/>
        <v>44861</v>
      </c>
      <c r="AD2" s="106">
        <f t="shared" si="0"/>
        <v>44862</v>
      </c>
      <c r="AE2" s="106">
        <f t="shared" si="0"/>
        <v>44863</v>
      </c>
      <c r="AF2" s="106">
        <f t="shared" si="0"/>
        <v>44864</v>
      </c>
      <c r="AG2" s="106">
        <f t="shared" si="0"/>
        <v>44865</v>
      </c>
      <c r="AH2" s="65" t="s">
        <v>59</v>
      </c>
      <c r="AI2" s="62"/>
      <c r="AJ2" s="63" t="s">
        <v>66</v>
      </c>
      <c r="AK2" s="64" t="s">
        <v>131</v>
      </c>
    </row>
    <row r="3" spans="1:40" x14ac:dyDescent="0.25">
      <c r="A3" s="66" t="s">
        <v>61</v>
      </c>
      <c r="B3" s="67" t="s">
        <v>62</v>
      </c>
      <c r="C3" s="68">
        <v>1.8</v>
      </c>
      <c r="D3" s="185">
        <v>4.4000000000000004</v>
      </c>
      <c r="E3" s="185">
        <v>2.1800000000000002</v>
      </c>
      <c r="F3" s="185">
        <v>11.62</v>
      </c>
      <c r="G3" s="185">
        <v>13.42</v>
      </c>
      <c r="H3" s="185">
        <v>12.06</v>
      </c>
      <c r="I3" s="185">
        <v>22.82</v>
      </c>
      <c r="J3" s="185">
        <v>6.61</v>
      </c>
      <c r="K3" s="185">
        <v>2.37</v>
      </c>
      <c r="L3" s="185">
        <v>6.62</v>
      </c>
      <c r="M3" s="185">
        <v>2.5499999999999998</v>
      </c>
      <c r="N3" s="185">
        <v>6.7</v>
      </c>
      <c r="O3" s="185">
        <v>14.7</v>
      </c>
      <c r="P3" s="185">
        <v>8.5500000000000007</v>
      </c>
      <c r="Q3" s="185"/>
      <c r="R3" s="185">
        <v>0.38</v>
      </c>
      <c r="S3" s="185">
        <v>2.46</v>
      </c>
      <c r="T3" s="185">
        <v>4.6399999999999997</v>
      </c>
      <c r="U3" s="185">
        <v>0.76</v>
      </c>
      <c r="V3" s="185"/>
      <c r="W3" s="185">
        <v>2.61</v>
      </c>
      <c r="X3" s="185">
        <v>14.93</v>
      </c>
      <c r="Y3" s="185">
        <v>0.95</v>
      </c>
      <c r="Z3" s="185"/>
      <c r="AA3" s="185">
        <v>6.53</v>
      </c>
      <c r="AB3" s="185">
        <v>1.6</v>
      </c>
      <c r="AC3" s="185"/>
      <c r="AD3" s="185">
        <v>5.34</v>
      </c>
      <c r="AE3" s="185"/>
      <c r="AF3" s="185">
        <v>0.18</v>
      </c>
      <c r="AG3" s="185"/>
      <c r="AH3" s="108">
        <f>SUM(C3:AG3)</f>
        <v>156.78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221</v>
      </c>
      <c r="B4" s="70" t="s">
        <v>222</v>
      </c>
      <c r="C4" s="71">
        <v>19</v>
      </c>
      <c r="D4" s="72">
        <v>46.49</v>
      </c>
      <c r="E4" s="71">
        <v>23</v>
      </c>
      <c r="F4" s="71">
        <v>122.98</v>
      </c>
      <c r="G4" s="71">
        <v>141.99</v>
      </c>
      <c r="H4" s="71">
        <v>127.38</v>
      </c>
      <c r="I4" s="71">
        <v>241.42</v>
      </c>
      <c r="J4" s="71">
        <v>70</v>
      </c>
      <c r="K4" s="71">
        <v>25</v>
      </c>
      <c r="L4" s="71">
        <v>70</v>
      </c>
      <c r="M4" s="71">
        <v>27</v>
      </c>
      <c r="N4" s="71">
        <v>70.98</v>
      </c>
      <c r="O4" s="71">
        <v>155.5</v>
      </c>
      <c r="P4" s="71">
        <v>90.49</v>
      </c>
      <c r="Q4" s="71"/>
      <c r="R4" s="71">
        <v>4</v>
      </c>
      <c r="S4" s="71">
        <v>25.99</v>
      </c>
      <c r="T4" s="71">
        <v>49</v>
      </c>
      <c r="U4" s="71">
        <v>8</v>
      </c>
      <c r="V4" s="71"/>
      <c r="W4" s="71">
        <v>27.5</v>
      </c>
      <c r="X4" s="71">
        <v>157.9</v>
      </c>
      <c r="Y4" s="71">
        <v>10</v>
      </c>
      <c r="Z4" s="71"/>
      <c r="AA4" s="71">
        <v>68.94</v>
      </c>
      <c r="AB4" s="71">
        <v>16.989999999999998</v>
      </c>
      <c r="AC4" s="71"/>
      <c r="AD4" s="71">
        <v>56.5</v>
      </c>
      <c r="AE4" s="71"/>
      <c r="AF4" s="71">
        <v>2</v>
      </c>
      <c r="AG4" s="71"/>
      <c r="AH4" s="108">
        <f t="shared" ref="AH4" si="1">SUM(C4:AG4)</f>
        <v>1658.0500000000002</v>
      </c>
      <c r="AJ4" s="69" t="s">
        <v>221</v>
      </c>
      <c r="AK4" s="70" t="s">
        <v>222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20.8</v>
      </c>
      <c r="D5" s="107">
        <f t="shared" si="2"/>
        <v>50.89</v>
      </c>
      <c r="E5" s="107">
        <f t="shared" si="2"/>
        <v>25.18</v>
      </c>
      <c r="F5" s="107">
        <f t="shared" si="2"/>
        <v>134.6</v>
      </c>
      <c r="G5" s="107">
        <f t="shared" si="2"/>
        <v>155.41</v>
      </c>
      <c r="H5" s="107">
        <f t="shared" si="2"/>
        <v>139.44</v>
      </c>
      <c r="I5" s="107">
        <f t="shared" si="2"/>
        <v>264.24</v>
      </c>
      <c r="J5" s="107">
        <f t="shared" si="2"/>
        <v>76.61</v>
      </c>
      <c r="K5" s="107">
        <f t="shared" si="2"/>
        <v>27.37</v>
      </c>
      <c r="L5" s="107">
        <f t="shared" si="2"/>
        <v>76.62</v>
      </c>
      <c r="M5" s="107">
        <f t="shared" si="2"/>
        <v>29.55</v>
      </c>
      <c r="N5" s="107">
        <f t="shared" si="2"/>
        <v>77.680000000000007</v>
      </c>
      <c r="O5" s="107">
        <f t="shared" si="2"/>
        <v>170.2</v>
      </c>
      <c r="P5" s="107">
        <f t="shared" si="2"/>
        <v>99.039999999999992</v>
      </c>
      <c r="Q5" s="107">
        <f t="shared" si="2"/>
        <v>0</v>
      </c>
      <c r="R5" s="107">
        <f t="shared" si="2"/>
        <v>4.38</v>
      </c>
      <c r="S5" s="107">
        <f t="shared" si="2"/>
        <v>28.45</v>
      </c>
      <c r="T5" s="107">
        <f t="shared" si="2"/>
        <v>53.64</v>
      </c>
      <c r="U5" s="107">
        <f t="shared" si="2"/>
        <v>8.76</v>
      </c>
      <c r="V5" s="107">
        <f t="shared" si="2"/>
        <v>0</v>
      </c>
      <c r="W5" s="107">
        <f t="shared" si="2"/>
        <v>30.11</v>
      </c>
      <c r="X5" s="107">
        <f t="shared" si="2"/>
        <v>172.83</v>
      </c>
      <c r="Y5" s="107">
        <f t="shared" si="2"/>
        <v>10.95</v>
      </c>
      <c r="Z5" s="107">
        <f t="shared" si="2"/>
        <v>0</v>
      </c>
      <c r="AA5" s="107">
        <f t="shared" si="2"/>
        <v>75.47</v>
      </c>
      <c r="AB5" s="107">
        <f t="shared" si="2"/>
        <v>18.59</v>
      </c>
      <c r="AC5" s="107">
        <f t="shared" si="2"/>
        <v>0</v>
      </c>
      <c r="AD5" s="107">
        <f t="shared" si="2"/>
        <v>61.84</v>
      </c>
      <c r="AE5" s="107">
        <f t="shared" si="2"/>
        <v>0</v>
      </c>
      <c r="AF5" s="107">
        <f t="shared" si="2"/>
        <v>2.1800000000000002</v>
      </c>
      <c r="AG5" s="107">
        <f t="shared" si="2"/>
        <v>0</v>
      </c>
      <c r="AH5" s="109">
        <f>SUM(C3:AG4)</f>
        <v>1814.8300000000002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131</v>
      </c>
      <c r="AL6" s="283" t="s">
        <v>123</v>
      </c>
      <c r="AM6" s="284" t="s">
        <v>124</v>
      </c>
    </row>
    <row r="7" spans="1:40" x14ac:dyDescent="0.25">
      <c r="A7" s="89" t="s">
        <v>60</v>
      </c>
      <c r="B7" s="84" t="s">
        <v>54</v>
      </c>
      <c r="C7" s="392">
        <v>16.420000000000002</v>
      </c>
      <c r="D7" s="392">
        <v>24.07</v>
      </c>
      <c r="E7" s="392">
        <v>10.95</v>
      </c>
      <c r="F7" s="392">
        <v>17.510000000000002</v>
      </c>
      <c r="G7" s="392">
        <v>3.28</v>
      </c>
      <c r="H7" s="392">
        <v>16.420000000000002</v>
      </c>
      <c r="I7" s="392">
        <v>27.36</v>
      </c>
      <c r="J7" s="392">
        <v>6.56</v>
      </c>
      <c r="K7" s="392">
        <v>27.37</v>
      </c>
      <c r="L7" s="392">
        <v>36.119999999999997</v>
      </c>
      <c r="M7" s="392">
        <v>2.19</v>
      </c>
      <c r="N7" s="392">
        <v>18.600000000000001</v>
      </c>
      <c r="O7" s="392">
        <v>44.87</v>
      </c>
      <c r="P7" s="392">
        <v>30.64</v>
      </c>
      <c r="Q7" s="392"/>
      <c r="R7" s="392"/>
      <c r="S7" s="392">
        <v>2.19</v>
      </c>
      <c r="T7" s="392">
        <v>12.05</v>
      </c>
      <c r="U7" s="392"/>
      <c r="V7" s="392"/>
      <c r="W7" s="392"/>
      <c r="X7" s="392">
        <v>5.47</v>
      </c>
      <c r="Y7" s="392">
        <v>10.95</v>
      </c>
      <c r="Z7" s="392"/>
      <c r="AA7" s="392">
        <v>21.9</v>
      </c>
      <c r="AB7" s="392">
        <v>18.59</v>
      </c>
      <c r="AC7" s="392"/>
      <c r="AD7" s="393">
        <v>18.059999999999999</v>
      </c>
      <c r="AE7" s="393"/>
      <c r="AF7" s="393">
        <v>2.1800000000000002</v>
      </c>
      <c r="AG7" s="393"/>
      <c r="AH7" s="110">
        <f>SUM(C7:AG7)</f>
        <v>373.75</v>
      </c>
      <c r="AJ7" s="137" t="s">
        <v>60</v>
      </c>
      <c r="AK7" s="138" t="s">
        <v>223</v>
      </c>
      <c r="AL7" s="386">
        <f>SUM(C7:AC7)</f>
        <v>353.51</v>
      </c>
      <c r="AM7" s="387">
        <f>SUM(AD7:AG7)</f>
        <v>20.239999999999998</v>
      </c>
    </row>
    <row r="8" spans="1:40" ht="16.5" thickBot="1" x14ac:dyDescent="0.3">
      <c r="A8" s="90" t="s">
        <v>60</v>
      </c>
      <c r="B8" s="91" t="s">
        <v>55</v>
      </c>
      <c r="C8" s="480">
        <v>4.38</v>
      </c>
      <c r="D8" s="480">
        <v>26.82</v>
      </c>
      <c r="E8" s="480">
        <v>14.23</v>
      </c>
      <c r="F8" s="480">
        <v>117.09</v>
      </c>
      <c r="G8" s="480">
        <v>152.13</v>
      </c>
      <c r="H8" s="480">
        <v>123.02</v>
      </c>
      <c r="I8" s="480">
        <v>236.88</v>
      </c>
      <c r="J8" s="480">
        <v>70.05</v>
      </c>
      <c r="K8" s="389">
        <v>0</v>
      </c>
      <c r="L8" s="480">
        <v>40.5</v>
      </c>
      <c r="M8" s="480">
        <v>27.36</v>
      </c>
      <c r="N8" s="480">
        <v>59.08</v>
      </c>
      <c r="O8" s="480">
        <v>125.33</v>
      </c>
      <c r="P8" s="480">
        <v>68.400000000000006</v>
      </c>
      <c r="Q8" s="389"/>
      <c r="R8" s="480">
        <v>4.38</v>
      </c>
      <c r="S8" s="480">
        <v>26.26</v>
      </c>
      <c r="T8" s="480">
        <v>41.59</v>
      </c>
      <c r="U8" s="480">
        <v>8.76</v>
      </c>
      <c r="V8" s="389"/>
      <c r="W8" s="480">
        <v>30.11</v>
      </c>
      <c r="X8" s="480">
        <v>167.36</v>
      </c>
      <c r="Y8" s="389">
        <v>0</v>
      </c>
      <c r="Z8" s="389"/>
      <c r="AA8" s="494">
        <v>53.57</v>
      </c>
      <c r="AB8" s="391">
        <v>0</v>
      </c>
      <c r="AC8" s="391"/>
      <c r="AD8" s="494">
        <v>43.78</v>
      </c>
      <c r="AE8" s="391"/>
      <c r="AF8" s="391">
        <v>0</v>
      </c>
      <c r="AG8" s="391"/>
      <c r="AH8" s="111">
        <f t="shared" ref="AH8" si="3">SUM(C8:AG8)</f>
        <v>1441.08</v>
      </c>
      <c r="AJ8" s="129" t="s">
        <v>60</v>
      </c>
      <c r="AK8" s="130" t="s">
        <v>224</v>
      </c>
      <c r="AL8" s="290">
        <f>SUM(C8:Z8)-AL13</f>
        <v>1303.4000000000001</v>
      </c>
      <c r="AM8" s="291">
        <f>SUM(AA8:AG8)-AM13</f>
        <v>94.429999999999993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20.8</v>
      </c>
      <c r="D9" s="107">
        <f t="shared" si="4"/>
        <v>50.89</v>
      </c>
      <c r="E9" s="107">
        <f t="shared" si="4"/>
        <v>25.18</v>
      </c>
      <c r="F9" s="107">
        <f t="shared" si="4"/>
        <v>134.6</v>
      </c>
      <c r="G9" s="107">
        <f t="shared" si="4"/>
        <v>155.41</v>
      </c>
      <c r="H9" s="107">
        <f t="shared" si="4"/>
        <v>139.44</v>
      </c>
      <c r="I9" s="107">
        <f t="shared" si="4"/>
        <v>264.24</v>
      </c>
      <c r="J9" s="107">
        <f t="shared" si="4"/>
        <v>76.61</v>
      </c>
      <c r="K9" s="107">
        <f t="shared" si="4"/>
        <v>27.37</v>
      </c>
      <c r="L9" s="107">
        <f t="shared" si="4"/>
        <v>76.62</v>
      </c>
      <c r="M9" s="107">
        <f t="shared" si="4"/>
        <v>29.55</v>
      </c>
      <c r="N9" s="107">
        <f t="shared" si="4"/>
        <v>77.680000000000007</v>
      </c>
      <c r="O9" s="107">
        <f t="shared" si="4"/>
        <v>170.2</v>
      </c>
      <c r="P9" s="107">
        <f t="shared" si="4"/>
        <v>99.04</v>
      </c>
      <c r="Q9" s="107">
        <f t="shared" si="4"/>
        <v>0</v>
      </c>
      <c r="R9" s="107">
        <f t="shared" si="4"/>
        <v>4.38</v>
      </c>
      <c r="S9" s="107">
        <f t="shared" si="4"/>
        <v>28.450000000000003</v>
      </c>
      <c r="T9" s="107">
        <f t="shared" si="4"/>
        <v>53.64</v>
      </c>
      <c r="U9" s="107">
        <f t="shared" si="4"/>
        <v>8.76</v>
      </c>
      <c r="V9" s="107">
        <f t="shared" si="4"/>
        <v>0</v>
      </c>
      <c r="W9" s="107">
        <f t="shared" si="4"/>
        <v>30.11</v>
      </c>
      <c r="X9" s="107">
        <f t="shared" si="4"/>
        <v>172.83</v>
      </c>
      <c r="Y9" s="107">
        <f t="shared" si="4"/>
        <v>10.95</v>
      </c>
      <c r="Z9" s="107">
        <f t="shared" si="4"/>
        <v>0</v>
      </c>
      <c r="AA9" s="107">
        <f t="shared" si="4"/>
        <v>75.47</v>
      </c>
      <c r="AB9" s="107">
        <f t="shared" si="4"/>
        <v>18.59</v>
      </c>
      <c r="AC9" s="107">
        <f t="shared" si="4"/>
        <v>0</v>
      </c>
      <c r="AD9" s="107">
        <f t="shared" si="4"/>
        <v>61.84</v>
      </c>
      <c r="AE9" s="107">
        <f t="shared" si="4"/>
        <v>0</v>
      </c>
      <c r="AF9" s="107">
        <f t="shared" si="4"/>
        <v>2.1800000000000002</v>
      </c>
      <c r="AG9" s="107">
        <f t="shared" si="4"/>
        <v>0</v>
      </c>
      <c r="AH9" s="110">
        <f>SUM(C9:AG9)</f>
        <v>1814.83</v>
      </c>
      <c r="AI9" s="59"/>
      <c r="AJ9" s="507" t="s">
        <v>76</v>
      </c>
      <c r="AK9" s="508"/>
      <c r="AL9" s="509">
        <f>SUM(AL7:AM8)</f>
        <v>1771.5800000000002</v>
      </c>
      <c r="AM9" s="510"/>
      <c r="AN9" s="273">
        <f>AL9-(AH9+AL11-AL13-AM13)</f>
        <v>0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225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7" t="s">
        <v>225</v>
      </c>
      <c r="AK11" s="212" t="s">
        <v>226</v>
      </c>
      <c r="AL11" s="271">
        <f>AH11</f>
        <v>0</v>
      </c>
      <c r="AM11" s="272"/>
      <c r="AN11" s="274" t="s">
        <v>129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8"/>
      <c r="AK12" s="225"/>
      <c r="AL12" s="99"/>
      <c r="AM12" s="479">
        <f>AL9+AL11+AM11+AL13+AM13</f>
        <v>1814.8300000000002</v>
      </c>
      <c r="AN12" s="478">
        <f>AM12-AH5</f>
        <v>0</v>
      </c>
    </row>
    <row r="13" spans="1:40" s="99" customFormat="1" ht="16.5" thickBot="1" x14ac:dyDescent="0.3">
      <c r="A13" s="467" t="s">
        <v>227</v>
      </c>
      <c r="B13" s="101" t="s">
        <v>202</v>
      </c>
      <c r="C13" s="481">
        <v>0.13</v>
      </c>
      <c r="D13" s="481">
        <v>0.8</v>
      </c>
      <c r="E13" s="481">
        <v>0.43</v>
      </c>
      <c r="F13" s="481">
        <v>3.51</v>
      </c>
      <c r="G13" s="481">
        <v>4.57</v>
      </c>
      <c r="H13" s="481">
        <v>3.69</v>
      </c>
      <c r="I13" s="481">
        <v>7.11</v>
      </c>
      <c r="J13" s="481">
        <v>2.1</v>
      </c>
      <c r="K13" s="469">
        <v>0</v>
      </c>
      <c r="L13" s="481">
        <v>1.22</v>
      </c>
      <c r="M13" s="481">
        <v>0.82</v>
      </c>
      <c r="N13" s="481">
        <v>1.77</v>
      </c>
      <c r="O13" s="481">
        <v>3.77</v>
      </c>
      <c r="P13" s="481">
        <v>2.0499999999999998</v>
      </c>
      <c r="Q13" s="469"/>
      <c r="R13" s="481">
        <v>0.13</v>
      </c>
      <c r="S13" s="481">
        <v>0.79</v>
      </c>
      <c r="T13" s="481">
        <v>1.25</v>
      </c>
      <c r="U13" s="481">
        <v>0.26</v>
      </c>
      <c r="V13" s="469"/>
      <c r="W13" s="481">
        <v>0.91</v>
      </c>
      <c r="X13" s="481">
        <v>5.0199999999999996</v>
      </c>
      <c r="Y13" s="469"/>
      <c r="Z13" s="469"/>
      <c r="AA13" s="498">
        <v>1.61</v>
      </c>
      <c r="AB13" s="496"/>
      <c r="AC13" s="496"/>
      <c r="AD13" s="498">
        <v>1.31</v>
      </c>
      <c r="AE13" s="496"/>
      <c r="AF13" s="496"/>
      <c r="AG13" s="497"/>
      <c r="AH13" s="470">
        <f t="shared" ref="AH13" si="6">SUM(C13:AG13)</f>
        <v>43.25</v>
      </c>
      <c r="AI13" s="62"/>
      <c r="AJ13" s="467" t="s">
        <v>227</v>
      </c>
      <c r="AK13" s="212" t="s">
        <v>204</v>
      </c>
      <c r="AL13" s="271">
        <f>SUM(C13:Z13)</f>
        <v>40.33</v>
      </c>
      <c r="AM13" s="272">
        <f>SUM(AA13:AG13)</f>
        <v>2.92</v>
      </c>
      <c r="AN13" s="274"/>
    </row>
    <row r="14" spans="1:40" s="102" customFormat="1" x14ac:dyDescent="0.25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224"/>
      <c r="AK14" s="225"/>
      <c r="AL14" s="99"/>
    </row>
    <row r="18" spans="33:34" x14ac:dyDescent="0.25">
      <c r="AG18" s="488" t="s">
        <v>238</v>
      </c>
      <c r="AH18" s="486">
        <f>AH13/AH8</f>
        <v>3.0012213062425405E-2</v>
      </c>
    </row>
    <row r="20" spans="33:34" x14ac:dyDescent="0.25">
      <c r="AG20" s="488" t="s">
        <v>239</v>
      </c>
      <c r="AH20" s="486">
        <f>AH13/AH9</f>
        <v>2.3831433247191197E-2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5" priority="4" operator="notEqual">
      <formula>0</formula>
    </cfRule>
  </conditionalFormatting>
  <conditionalFormatting sqref="C11:AG11">
    <cfRule type="cellIs" dxfId="4" priority="3" operator="notEqual">
      <formula>0</formula>
    </cfRule>
  </conditionalFormatting>
  <conditionalFormatting sqref="AN9">
    <cfRule type="cellIs" dxfId="3" priority="1" operator="lessThan">
      <formula>0</formula>
    </cfRule>
    <cfRule type="cellIs" dxfId="2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51"/>
  <sheetViews>
    <sheetView tabSelected="1" workbookViewId="0">
      <pane xSplit="2" ySplit="2" topLeftCell="T18" activePane="bottomRight" state="frozen"/>
      <selection pane="topRight" activeCell="C1" sqref="C1"/>
      <selection pane="bottomLeft" activeCell="A3" sqref="A3"/>
      <selection pane="bottomRight" activeCell="AL7" sqref="AL7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118</v>
      </c>
      <c r="B1" s="285" t="str">
        <f>'Cash Flow'!C1</f>
        <v>October</v>
      </c>
      <c r="C1" s="228" t="str">
        <f t="array" ref="C1:AG1">TRANSPOSE('Cash Flow'!B8:B38)</f>
        <v>Sat</v>
      </c>
      <c r="D1" s="228" t="str">
        <v>Sun</v>
      </c>
      <c r="E1" s="228" t="str">
        <v>Mon</v>
      </c>
      <c r="F1" s="228" t="str">
        <v>Tue</v>
      </c>
      <c r="G1" s="228" t="str">
        <v>Wed</v>
      </c>
      <c r="H1" s="228" t="str">
        <v>Thu</v>
      </c>
      <c r="I1" s="228" t="str">
        <v>Fri</v>
      </c>
      <c r="J1" s="228" t="str">
        <v>Sat</v>
      </c>
      <c r="K1" s="228" t="str">
        <v>Sun</v>
      </c>
      <c r="L1" s="228" t="str">
        <v>Mon</v>
      </c>
      <c r="M1" s="228" t="str">
        <v>Tue</v>
      </c>
      <c r="N1" s="228" t="str">
        <v>Wed</v>
      </c>
      <c r="O1" s="228" t="str">
        <v>Thu</v>
      </c>
      <c r="P1" s="228" t="str">
        <v>Fri</v>
      </c>
      <c r="Q1" s="228" t="str">
        <v>Sat</v>
      </c>
      <c r="R1" s="228" t="str">
        <v>Sun</v>
      </c>
      <c r="S1" s="228" t="str">
        <v>Mon</v>
      </c>
      <c r="T1" s="228" t="str">
        <v>Tue</v>
      </c>
      <c r="U1" s="228" t="str">
        <v>Wed</v>
      </c>
      <c r="V1" s="228" t="str">
        <v>Thu</v>
      </c>
      <c r="W1" s="228" t="str">
        <v>Fri</v>
      </c>
      <c r="X1" s="228" t="str">
        <v>Sat</v>
      </c>
      <c r="Y1" s="228" t="str">
        <v>Sun</v>
      </c>
      <c r="Z1" s="228" t="str">
        <v>Mon</v>
      </c>
      <c r="AA1" s="228" t="str">
        <v>Tue</v>
      </c>
      <c r="AB1" s="228" t="str">
        <v>Wed</v>
      </c>
      <c r="AC1" s="228" t="str">
        <v>Thu</v>
      </c>
      <c r="AD1" s="228" t="str">
        <v>Fri</v>
      </c>
      <c r="AE1" s="228" t="str">
        <v>Sat</v>
      </c>
      <c r="AF1" s="228" t="str">
        <v>Sun</v>
      </c>
      <c r="AG1" s="228" t="str">
        <v>Mon</v>
      </c>
    </row>
    <row r="2" spans="1:37" ht="16.5" thickBot="1" x14ac:dyDescent="0.3">
      <c r="A2" s="117" t="s">
        <v>66</v>
      </c>
      <c r="B2" s="118" t="s">
        <v>131</v>
      </c>
      <c r="C2" s="106">
        <f>'Cash Flow'!A8</f>
        <v>44835</v>
      </c>
      <c r="D2" s="106">
        <f t="shared" ref="D2:AG2" si="0">C2+1</f>
        <v>44836</v>
      </c>
      <c r="E2" s="106">
        <f t="shared" si="0"/>
        <v>44837</v>
      </c>
      <c r="F2" s="106">
        <f t="shared" si="0"/>
        <v>44838</v>
      </c>
      <c r="G2" s="106">
        <f t="shared" si="0"/>
        <v>44839</v>
      </c>
      <c r="H2" s="106">
        <f t="shared" si="0"/>
        <v>44840</v>
      </c>
      <c r="I2" s="106">
        <f t="shared" si="0"/>
        <v>44841</v>
      </c>
      <c r="J2" s="106">
        <f t="shared" si="0"/>
        <v>44842</v>
      </c>
      <c r="K2" s="106">
        <f t="shared" si="0"/>
        <v>44843</v>
      </c>
      <c r="L2" s="106">
        <f t="shared" si="0"/>
        <v>44844</v>
      </c>
      <c r="M2" s="106">
        <f t="shared" si="0"/>
        <v>44845</v>
      </c>
      <c r="N2" s="106">
        <f t="shared" si="0"/>
        <v>44846</v>
      </c>
      <c r="O2" s="106">
        <f t="shared" si="0"/>
        <v>44847</v>
      </c>
      <c r="P2" s="106">
        <f t="shared" si="0"/>
        <v>44848</v>
      </c>
      <c r="Q2" s="106">
        <f t="shared" si="0"/>
        <v>44849</v>
      </c>
      <c r="R2" s="106">
        <f t="shared" si="0"/>
        <v>44850</v>
      </c>
      <c r="S2" s="106">
        <f t="shared" si="0"/>
        <v>44851</v>
      </c>
      <c r="T2" s="106">
        <f t="shared" si="0"/>
        <v>44852</v>
      </c>
      <c r="U2" s="106">
        <f t="shared" si="0"/>
        <v>44853</v>
      </c>
      <c r="V2" s="106">
        <f t="shared" si="0"/>
        <v>44854</v>
      </c>
      <c r="W2" s="106">
        <f t="shared" si="0"/>
        <v>44855</v>
      </c>
      <c r="X2" s="106">
        <f t="shared" si="0"/>
        <v>44856</v>
      </c>
      <c r="Y2" s="106">
        <f t="shared" si="0"/>
        <v>44857</v>
      </c>
      <c r="Z2" s="106">
        <f t="shared" si="0"/>
        <v>44858</v>
      </c>
      <c r="AA2" s="106">
        <f t="shared" si="0"/>
        <v>44859</v>
      </c>
      <c r="AB2" s="106">
        <f t="shared" si="0"/>
        <v>44860</v>
      </c>
      <c r="AC2" s="106">
        <f t="shared" si="0"/>
        <v>44861</v>
      </c>
      <c r="AD2" s="106">
        <f t="shared" si="0"/>
        <v>44862</v>
      </c>
      <c r="AE2" s="106">
        <f t="shared" si="0"/>
        <v>44863</v>
      </c>
      <c r="AF2" s="106">
        <f t="shared" si="0"/>
        <v>44864</v>
      </c>
      <c r="AG2" s="106">
        <f t="shared" si="0"/>
        <v>44865</v>
      </c>
      <c r="AH2" s="119" t="s">
        <v>59</v>
      </c>
      <c r="AJ2" s="63" t="s">
        <v>66</v>
      </c>
      <c r="AK2" s="64" t="s">
        <v>131</v>
      </c>
    </row>
    <row r="3" spans="1:37" ht="15.75" x14ac:dyDescent="0.25">
      <c r="A3" s="120" t="s">
        <v>61</v>
      </c>
      <c r="B3" s="121" t="s">
        <v>83</v>
      </c>
      <c r="C3" s="113">
        <v>13.39</v>
      </c>
      <c r="D3" s="113">
        <v>9.07</v>
      </c>
      <c r="E3" s="113">
        <v>5.77</v>
      </c>
      <c r="F3" s="113">
        <v>23.5</v>
      </c>
      <c r="G3" s="113">
        <v>10.57</v>
      </c>
      <c r="H3" s="113">
        <v>59.38</v>
      </c>
      <c r="I3" s="113">
        <v>6.36</v>
      </c>
      <c r="J3" s="113">
        <v>15.3</v>
      </c>
      <c r="K3" s="113">
        <v>22.02</v>
      </c>
      <c r="L3" s="113">
        <v>12.99</v>
      </c>
      <c r="M3" s="113">
        <v>27.83</v>
      </c>
      <c r="N3" s="113">
        <v>18.72</v>
      </c>
      <c r="O3" s="113">
        <v>17.78</v>
      </c>
      <c r="P3" s="113">
        <v>16.010000000000002</v>
      </c>
      <c r="Q3" s="113">
        <v>30.69</v>
      </c>
      <c r="R3" s="113">
        <v>13.94</v>
      </c>
      <c r="S3" s="113">
        <v>7.6</v>
      </c>
      <c r="T3" s="113">
        <v>12.02</v>
      </c>
      <c r="U3" s="113">
        <v>13.75</v>
      </c>
      <c r="V3" s="113">
        <v>13.85</v>
      </c>
      <c r="W3" s="113">
        <v>17.38</v>
      </c>
      <c r="X3" s="113">
        <v>24.64</v>
      </c>
      <c r="Y3" s="113">
        <v>2.48</v>
      </c>
      <c r="Z3" s="113">
        <v>5.73</v>
      </c>
      <c r="AA3" s="113">
        <v>2.4300000000000002</v>
      </c>
      <c r="AB3" s="113">
        <v>1.21</v>
      </c>
      <c r="AC3" s="113">
        <v>1.71</v>
      </c>
      <c r="AD3" s="113">
        <v>6.92</v>
      </c>
      <c r="AE3" s="113">
        <v>6.84</v>
      </c>
      <c r="AF3" s="113">
        <v>5.83</v>
      </c>
      <c r="AG3" s="113"/>
      <c r="AH3" s="108">
        <f t="shared" ref="AH3:AH15" si="1">SUM(C3:AG3)</f>
        <v>425.71000000000004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>
        <v>1165</v>
      </c>
      <c r="D4" s="124">
        <v>779</v>
      </c>
      <c r="E4" s="124">
        <v>1008</v>
      </c>
      <c r="F4" s="124">
        <v>1035</v>
      </c>
      <c r="G4" s="124">
        <v>742</v>
      </c>
      <c r="H4" s="124">
        <v>916</v>
      </c>
      <c r="I4" s="124">
        <v>919</v>
      </c>
      <c r="J4" s="124">
        <v>1763</v>
      </c>
      <c r="K4" s="124">
        <v>1526</v>
      </c>
      <c r="L4" s="124">
        <v>1047</v>
      </c>
      <c r="M4" s="124">
        <v>1311</v>
      </c>
      <c r="N4" s="124">
        <v>1350</v>
      </c>
      <c r="O4" s="124">
        <v>1476</v>
      </c>
      <c r="P4" s="124">
        <v>1931</v>
      </c>
      <c r="Q4" s="124">
        <v>2856</v>
      </c>
      <c r="R4" s="124">
        <v>1907</v>
      </c>
      <c r="S4" s="124">
        <v>1207</v>
      </c>
      <c r="T4" s="124">
        <v>1038</v>
      </c>
      <c r="U4" s="124">
        <v>736</v>
      </c>
      <c r="V4" s="124">
        <v>935</v>
      </c>
      <c r="W4" s="124">
        <v>1476</v>
      </c>
      <c r="X4" s="124">
        <v>1901</v>
      </c>
      <c r="Y4" s="124">
        <v>409</v>
      </c>
      <c r="Z4" s="124">
        <v>276</v>
      </c>
      <c r="AA4" s="124">
        <v>325</v>
      </c>
      <c r="AB4" s="124">
        <v>221</v>
      </c>
      <c r="AC4" s="124">
        <v>70</v>
      </c>
      <c r="AD4" s="124">
        <v>407</v>
      </c>
      <c r="AE4" s="124">
        <v>652</v>
      </c>
      <c r="AF4" s="124">
        <v>843</v>
      </c>
      <c r="AG4" s="124"/>
      <c r="AH4" s="108">
        <f t="shared" si="1"/>
        <v>32227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>
        <v>65</v>
      </c>
      <c r="AA5" s="125"/>
      <c r="AB5" s="125"/>
      <c r="AC5" s="125"/>
      <c r="AD5" s="125"/>
      <c r="AE5" s="125"/>
      <c r="AF5" s="125"/>
      <c r="AG5" s="125"/>
      <c r="AH5" s="108">
        <f t="shared" si="1"/>
        <v>65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210</v>
      </c>
      <c r="C6" s="125">
        <v>141.71</v>
      </c>
      <c r="D6" s="125">
        <v>95.79</v>
      </c>
      <c r="E6" s="125">
        <v>60.81</v>
      </c>
      <c r="F6" s="125">
        <v>248.7</v>
      </c>
      <c r="G6" s="125">
        <v>111.87</v>
      </c>
      <c r="H6" s="125">
        <v>628.35</v>
      </c>
      <c r="I6" s="125">
        <v>67.28</v>
      </c>
      <c r="J6" s="125">
        <v>161.88999999999999</v>
      </c>
      <c r="K6" s="125">
        <v>233.19</v>
      </c>
      <c r="L6" s="125">
        <v>137.68</v>
      </c>
      <c r="M6" s="125">
        <v>294.5</v>
      </c>
      <c r="N6" s="125">
        <v>198.1</v>
      </c>
      <c r="O6" s="125">
        <v>188.17</v>
      </c>
      <c r="P6" s="125">
        <v>169.15</v>
      </c>
      <c r="Q6" s="125">
        <v>324.23</v>
      </c>
      <c r="R6" s="125">
        <v>147.47999999999999</v>
      </c>
      <c r="S6" s="125">
        <v>80.39</v>
      </c>
      <c r="T6" s="125">
        <v>126.81</v>
      </c>
      <c r="U6" s="125">
        <v>145.47</v>
      </c>
      <c r="V6" s="125">
        <v>146.47</v>
      </c>
      <c r="W6" s="125">
        <v>184.11</v>
      </c>
      <c r="X6" s="125">
        <v>260.39999999999998</v>
      </c>
      <c r="Y6" s="125">
        <v>26.25</v>
      </c>
      <c r="Z6" s="125">
        <v>60.66</v>
      </c>
      <c r="AA6" s="125">
        <v>25.65</v>
      </c>
      <c r="AB6" s="125">
        <v>12.73</v>
      </c>
      <c r="AC6" s="125">
        <v>17.940000000000001</v>
      </c>
      <c r="AD6" s="125">
        <v>73.2</v>
      </c>
      <c r="AE6" s="125">
        <v>72.44</v>
      </c>
      <c r="AF6" s="125">
        <v>61.67</v>
      </c>
      <c r="AG6" s="125"/>
      <c r="AH6" s="108">
        <f t="shared" si="1"/>
        <v>4503.0899999999983</v>
      </c>
      <c r="AJ6" s="162" t="s">
        <v>79</v>
      </c>
      <c r="AK6" s="163" t="s">
        <v>210</v>
      </c>
    </row>
    <row r="7" spans="1:37" ht="15.75" x14ac:dyDescent="0.25">
      <c r="A7" s="122" t="s">
        <v>79</v>
      </c>
      <c r="B7" s="123" t="s">
        <v>81</v>
      </c>
      <c r="C7" s="125">
        <v>3.96</v>
      </c>
      <c r="D7" s="125">
        <v>8.8000000000000007</v>
      </c>
      <c r="E7" s="125"/>
      <c r="F7" s="125"/>
      <c r="G7" s="125">
        <v>4.4000000000000004</v>
      </c>
      <c r="H7" s="125"/>
      <c r="I7" s="125"/>
      <c r="J7" s="125"/>
      <c r="K7" s="125"/>
      <c r="L7" s="125"/>
      <c r="M7" s="125"/>
      <c r="N7" s="125"/>
      <c r="O7" s="125"/>
      <c r="P7" s="125"/>
      <c r="Q7" s="125">
        <v>0.44</v>
      </c>
      <c r="R7" s="125">
        <v>1.76</v>
      </c>
      <c r="S7" s="125"/>
      <c r="T7" s="125">
        <v>0.44</v>
      </c>
      <c r="U7" s="125"/>
      <c r="V7" s="125">
        <v>0.88</v>
      </c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20.680000000000007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195</v>
      </c>
      <c r="C8" s="433">
        <f t="shared" ref="C8:AG8" si="2">SUM(C3:C7)</f>
        <v>1324.0600000000002</v>
      </c>
      <c r="D8" s="433">
        <f t="shared" si="2"/>
        <v>892.66</v>
      </c>
      <c r="E8" s="433">
        <f t="shared" si="2"/>
        <v>1074.58</v>
      </c>
      <c r="F8" s="433">
        <f t="shared" si="2"/>
        <v>1307.2</v>
      </c>
      <c r="G8" s="433">
        <f t="shared" si="2"/>
        <v>868.84</v>
      </c>
      <c r="H8" s="433">
        <f t="shared" si="2"/>
        <v>1603.73</v>
      </c>
      <c r="I8" s="433">
        <f t="shared" si="2"/>
        <v>992.64</v>
      </c>
      <c r="J8" s="433">
        <f t="shared" si="2"/>
        <v>1940.19</v>
      </c>
      <c r="K8" s="433">
        <f t="shared" si="2"/>
        <v>1781.21</v>
      </c>
      <c r="L8" s="433">
        <f t="shared" si="2"/>
        <v>1197.67</v>
      </c>
      <c r="M8" s="433">
        <f t="shared" si="2"/>
        <v>1633.33</v>
      </c>
      <c r="N8" s="433">
        <f t="shared" si="2"/>
        <v>1566.82</v>
      </c>
      <c r="O8" s="433">
        <f t="shared" si="2"/>
        <v>1681.95</v>
      </c>
      <c r="P8" s="433">
        <f t="shared" si="2"/>
        <v>2116.16</v>
      </c>
      <c r="Q8" s="433">
        <f t="shared" si="2"/>
        <v>3211.36</v>
      </c>
      <c r="R8" s="433">
        <f t="shared" si="2"/>
        <v>2070.1800000000003</v>
      </c>
      <c r="S8" s="433">
        <f t="shared" si="2"/>
        <v>1294.99</v>
      </c>
      <c r="T8" s="433">
        <f t="shared" si="2"/>
        <v>1177.27</v>
      </c>
      <c r="U8" s="433">
        <f t="shared" si="2"/>
        <v>895.22</v>
      </c>
      <c r="V8" s="433">
        <f t="shared" si="2"/>
        <v>1096.2</v>
      </c>
      <c r="W8" s="433">
        <f t="shared" si="2"/>
        <v>1677.4900000000002</v>
      </c>
      <c r="X8" s="433">
        <f t="shared" si="2"/>
        <v>2186.04</v>
      </c>
      <c r="Y8" s="433">
        <f t="shared" si="2"/>
        <v>437.73</v>
      </c>
      <c r="Z8" s="433">
        <f t="shared" si="2"/>
        <v>407.39</v>
      </c>
      <c r="AA8" s="433">
        <f t="shared" si="2"/>
        <v>353.08</v>
      </c>
      <c r="AB8" s="433">
        <f t="shared" si="2"/>
        <v>234.94</v>
      </c>
      <c r="AC8" s="433">
        <f t="shared" si="2"/>
        <v>89.649999999999991</v>
      </c>
      <c r="AD8" s="433">
        <f t="shared" si="2"/>
        <v>487.12</v>
      </c>
      <c r="AE8" s="433">
        <f t="shared" si="2"/>
        <v>731.28</v>
      </c>
      <c r="AF8" s="433">
        <f t="shared" si="2"/>
        <v>910.5</v>
      </c>
      <c r="AG8" s="433">
        <f t="shared" si="2"/>
        <v>0</v>
      </c>
      <c r="AH8" s="432">
        <f t="shared" si="1"/>
        <v>37241.480000000018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>
        <v>15.97</v>
      </c>
      <c r="D9" s="107">
        <v>6.23</v>
      </c>
      <c r="E9" s="428">
        <v>4.13</v>
      </c>
      <c r="F9" s="428">
        <v>6.53</v>
      </c>
      <c r="G9" s="428">
        <v>16.079999999999998</v>
      </c>
      <c r="H9" s="428">
        <v>10.19</v>
      </c>
      <c r="I9" s="428">
        <v>9.39</v>
      </c>
      <c r="J9" s="428">
        <v>27.75</v>
      </c>
      <c r="K9" s="428">
        <v>14.41</v>
      </c>
      <c r="L9" s="428">
        <v>7.4</v>
      </c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118.08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>
        <v>1125</v>
      </c>
      <c r="D10" s="125">
        <v>461</v>
      </c>
      <c r="E10" s="153">
        <v>639</v>
      </c>
      <c r="F10" s="153">
        <v>738</v>
      </c>
      <c r="G10" s="153">
        <v>808</v>
      </c>
      <c r="H10" s="153">
        <v>616</v>
      </c>
      <c r="I10" s="153">
        <v>1127</v>
      </c>
      <c r="J10" s="153">
        <v>1408</v>
      </c>
      <c r="K10" s="153">
        <v>1251</v>
      </c>
      <c r="L10" s="153">
        <v>664</v>
      </c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8837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210</v>
      </c>
      <c r="C12" s="426">
        <v>169.05</v>
      </c>
      <c r="D12" s="125">
        <v>65.97</v>
      </c>
      <c r="E12" s="153">
        <v>43.29</v>
      </c>
      <c r="F12" s="153">
        <v>69</v>
      </c>
      <c r="G12" s="153">
        <v>169.97</v>
      </c>
      <c r="H12" s="153">
        <v>107.87</v>
      </c>
      <c r="I12" s="153">
        <v>99.57</v>
      </c>
      <c r="J12" s="153">
        <v>293.92</v>
      </c>
      <c r="K12" s="153">
        <v>152.78</v>
      </c>
      <c r="L12" s="153">
        <v>76.569999999999993</v>
      </c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1247.99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>
        <v>0.44</v>
      </c>
      <c r="I13" s="153"/>
      <c r="J13" s="153"/>
      <c r="K13" s="153">
        <v>0.88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1.32</v>
      </c>
      <c r="AJ13" s="425"/>
      <c r="AK13" s="424"/>
    </row>
    <row r="14" spans="1:37" ht="16.5" thickBot="1" x14ac:dyDescent="0.3">
      <c r="A14" s="132"/>
      <c r="B14" s="423" t="s">
        <v>194</v>
      </c>
      <c r="C14" s="422">
        <f t="shared" ref="C14:AG14" si="3">SUM(C9:C13)</f>
        <v>1310.02</v>
      </c>
      <c r="D14" s="422">
        <f t="shared" si="3"/>
        <v>533.20000000000005</v>
      </c>
      <c r="E14" s="422">
        <f t="shared" si="3"/>
        <v>686.42</v>
      </c>
      <c r="F14" s="422">
        <f t="shared" si="3"/>
        <v>813.53</v>
      </c>
      <c r="G14" s="422">
        <f t="shared" si="3"/>
        <v>994.05000000000007</v>
      </c>
      <c r="H14" s="422">
        <f t="shared" si="3"/>
        <v>734.50000000000011</v>
      </c>
      <c r="I14" s="422">
        <f t="shared" si="3"/>
        <v>1235.96</v>
      </c>
      <c r="J14" s="422">
        <f t="shared" si="3"/>
        <v>1729.67</v>
      </c>
      <c r="K14" s="422">
        <f t="shared" si="3"/>
        <v>1419.0700000000002</v>
      </c>
      <c r="L14" s="422">
        <f t="shared" si="3"/>
        <v>747.97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10204.39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2634.0800000000004</v>
      </c>
      <c r="D15" s="414">
        <f t="shared" si="4"/>
        <v>1425.86</v>
      </c>
      <c r="E15" s="414">
        <f t="shared" si="4"/>
        <v>1761</v>
      </c>
      <c r="F15" s="414">
        <f t="shared" si="4"/>
        <v>2120.73</v>
      </c>
      <c r="G15" s="414">
        <f t="shared" si="4"/>
        <v>1862.89</v>
      </c>
      <c r="H15" s="414">
        <f t="shared" si="4"/>
        <v>2338.23</v>
      </c>
      <c r="I15" s="414">
        <f t="shared" si="4"/>
        <v>2228.6</v>
      </c>
      <c r="J15" s="414">
        <f t="shared" si="4"/>
        <v>3669.86</v>
      </c>
      <c r="K15" s="414">
        <f t="shared" si="4"/>
        <v>3200.28</v>
      </c>
      <c r="L15" s="414">
        <f t="shared" si="4"/>
        <v>1945.64</v>
      </c>
      <c r="M15" s="414">
        <f t="shared" si="4"/>
        <v>1633.33</v>
      </c>
      <c r="N15" s="414">
        <f t="shared" si="4"/>
        <v>1566.82</v>
      </c>
      <c r="O15" s="414">
        <f t="shared" si="4"/>
        <v>1681.95</v>
      </c>
      <c r="P15" s="414">
        <f t="shared" si="4"/>
        <v>2116.16</v>
      </c>
      <c r="Q15" s="414">
        <f t="shared" si="4"/>
        <v>3211.36</v>
      </c>
      <c r="R15" s="414">
        <f t="shared" si="4"/>
        <v>2070.1800000000003</v>
      </c>
      <c r="S15" s="414">
        <f t="shared" si="4"/>
        <v>1294.99</v>
      </c>
      <c r="T15" s="414">
        <f t="shared" si="4"/>
        <v>1177.27</v>
      </c>
      <c r="U15" s="414">
        <f t="shared" si="4"/>
        <v>895.22</v>
      </c>
      <c r="V15" s="414">
        <f t="shared" si="4"/>
        <v>1096.2</v>
      </c>
      <c r="W15" s="414">
        <f t="shared" si="4"/>
        <v>1677.4900000000002</v>
      </c>
      <c r="X15" s="414">
        <f t="shared" si="4"/>
        <v>2186.04</v>
      </c>
      <c r="Y15" s="414">
        <f t="shared" si="4"/>
        <v>437.73</v>
      </c>
      <c r="Z15" s="414">
        <f t="shared" si="4"/>
        <v>407.39</v>
      </c>
      <c r="AA15" s="414">
        <f t="shared" si="4"/>
        <v>353.08</v>
      </c>
      <c r="AB15" s="414">
        <f t="shared" si="4"/>
        <v>234.94</v>
      </c>
      <c r="AC15" s="414">
        <f t="shared" si="4"/>
        <v>89.649999999999991</v>
      </c>
      <c r="AD15" s="414">
        <f t="shared" si="4"/>
        <v>487.12</v>
      </c>
      <c r="AE15" s="414">
        <f t="shared" si="4"/>
        <v>731.28</v>
      </c>
      <c r="AF15" s="414">
        <f t="shared" si="4"/>
        <v>910.5</v>
      </c>
      <c r="AG15" s="414">
        <f t="shared" si="4"/>
        <v>0</v>
      </c>
      <c r="AH15" s="109">
        <f t="shared" si="1"/>
        <v>47445.87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8" t="s">
        <v>130</v>
      </c>
      <c r="AK17" s="519"/>
      <c r="AL17" s="519"/>
      <c r="AM17" s="520"/>
    </row>
    <row r="18" spans="1:40" ht="16.5" thickBot="1" x14ac:dyDescent="0.3">
      <c r="A18" s="367" t="str">
        <f>'[1]TEMP Summary'!A12</f>
        <v>01-00-1000</v>
      </c>
      <c r="B18" s="453" t="s">
        <v>193</v>
      </c>
      <c r="C18" s="436">
        <v>776.84</v>
      </c>
      <c r="D18" s="437">
        <v>392.18</v>
      </c>
      <c r="E18" s="437">
        <v>531.4</v>
      </c>
      <c r="F18" s="437">
        <v>534.89</v>
      </c>
      <c r="G18" s="437">
        <v>457.18</v>
      </c>
      <c r="H18" s="437">
        <v>523.88</v>
      </c>
      <c r="I18" s="437">
        <v>527.59</v>
      </c>
      <c r="J18" s="437">
        <v>944.6</v>
      </c>
      <c r="K18" s="437">
        <v>833.16</v>
      </c>
      <c r="L18" s="437">
        <v>476.6</v>
      </c>
      <c r="M18" s="437">
        <v>617.20000000000005</v>
      </c>
      <c r="N18" s="437">
        <v>741.99</v>
      </c>
      <c r="O18" s="437">
        <v>689.54</v>
      </c>
      <c r="P18" s="437">
        <v>964.31</v>
      </c>
      <c r="Q18" s="437">
        <v>1293.68</v>
      </c>
      <c r="R18" s="437">
        <v>876.31</v>
      </c>
      <c r="S18" s="437">
        <v>634.84</v>
      </c>
      <c r="T18" s="107">
        <v>576.76</v>
      </c>
      <c r="U18" s="107">
        <v>482.01</v>
      </c>
      <c r="V18" s="107">
        <v>568.19000000000005</v>
      </c>
      <c r="W18" s="107">
        <v>871.72</v>
      </c>
      <c r="X18" s="107">
        <v>1084.96</v>
      </c>
      <c r="Y18" s="107">
        <v>256.63</v>
      </c>
      <c r="Z18" s="107">
        <v>179.71</v>
      </c>
      <c r="AA18" s="107">
        <v>170.31</v>
      </c>
      <c r="AB18" s="107">
        <v>78.02</v>
      </c>
      <c r="AC18" s="107">
        <v>63.65</v>
      </c>
      <c r="AD18" s="107">
        <v>280.85000000000002</v>
      </c>
      <c r="AE18" s="107">
        <v>324.85000000000002</v>
      </c>
      <c r="AF18" s="107">
        <v>443.04</v>
      </c>
      <c r="AG18" s="458"/>
      <c r="AH18" s="419">
        <f t="shared" ref="AH18:AH24" si="5">SUM(C18:AG18)</f>
        <v>17196.89</v>
      </c>
      <c r="AJ18" s="282" t="s">
        <v>66</v>
      </c>
      <c r="AK18" s="283" t="s">
        <v>131</v>
      </c>
      <c r="AL18" s="283" t="s">
        <v>123</v>
      </c>
      <c r="AM18" s="284" t="s">
        <v>124</v>
      </c>
    </row>
    <row r="19" spans="1:40" ht="16.5" thickBot="1" x14ac:dyDescent="0.3">
      <c r="A19" s="368" t="str">
        <f>'[1]TEMP Summary'!A13</f>
        <v>01-00-1000</v>
      </c>
      <c r="B19" s="454" t="s">
        <v>192</v>
      </c>
      <c r="C19" s="438">
        <v>473.09</v>
      </c>
      <c r="D19" s="439">
        <v>322.58</v>
      </c>
      <c r="E19" s="439">
        <v>335.71</v>
      </c>
      <c r="F19" s="439">
        <v>412.43</v>
      </c>
      <c r="G19" s="439">
        <v>487.66</v>
      </c>
      <c r="H19" s="439">
        <v>303.06</v>
      </c>
      <c r="I19" s="439">
        <v>537.94000000000005</v>
      </c>
      <c r="J19" s="439">
        <v>615.14</v>
      </c>
      <c r="K19" s="439">
        <v>644.14</v>
      </c>
      <c r="L19" s="439">
        <v>329.71</v>
      </c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459"/>
      <c r="AH19" s="418">
        <f t="shared" si="5"/>
        <v>4461.46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4" t="s">
        <v>191</v>
      </c>
      <c r="C20" s="483">
        <v>547.22</v>
      </c>
      <c r="D20" s="485">
        <v>575.04</v>
      </c>
      <c r="E20" s="485">
        <v>543.17999999999995</v>
      </c>
      <c r="F20" s="485">
        <v>772.31</v>
      </c>
      <c r="G20" s="485">
        <v>411.66</v>
      </c>
      <c r="H20" s="485">
        <v>1079.8499999999999</v>
      </c>
      <c r="I20" s="485">
        <v>465.05</v>
      </c>
      <c r="J20" s="485">
        <v>995.59</v>
      </c>
      <c r="K20" s="485">
        <v>948.05</v>
      </c>
      <c r="L20" s="485">
        <v>721.07</v>
      </c>
      <c r="M20" s="485">
        <v>1016.13</v>
      </c>
      <c r="N20" s="485">
        <v>824.83</v>
      </c>
      <c r="O20" s="485">
        <v>992.41</v>
      </c>
      <c r="P20" s="485">
        <v>1151.8499999999999</v>
      </c>
      <c r="Q20" s="485">
        <v>1917.68</v>
      </c>
      <c r="R20" s="485">
        <v>1193.8699999999999</v>
      </c>
      <c r="S20" s="485">
        <v>660.15</v>
      </c>
      <c r="T20" s="485">
        <v>600.51</v>
      </c>
      <c r="U20" s="485">
        <v>413.21</v>
      </c>
      <c r="V20" s="485">
        <v>528.01</v>
      </c>
      <c r="W20" s="485">
        <v>805.77</v>
      </c>
      <c r="X20" s="485">
        <v>1101.08</v>
      </c>
      <c r="Y20" s="485">
        <v>181.1</v>
      </c>
      <c r="Z20" s="485">
        <v>227.68</v>
      </c>
      <c r="AA20" s="492">
        <v>182.77</v>
      </c>
      <c r="AB20" s="492">
        <v>156.91999999999999</v>
      </c>
      <c r="AC20" s="492">
        <v>26</v>
      </c>
      <c r="AD20" s="492">
        <v>206.27</v>
      </c>
      <c r="AE20" s="492">
        <v>406.43</v>
      </c>
      <c r="AF20" s="492">
        <v>467.46</v>
      </c>
      <c r="AG20" s="491"/>
      <c r="AH20" s="418">
        <f t="shared" si="5"/>
        <v>20119.149999999994</v>
      </c>
      <c r="AJ20" s="126" t="s">
        <v>60</v>
      </c>
      <c r="AK20" s="127" t="s">
        <v>54</v>
      </c>
      <c r="AL20" s="451">
        <f>SUM(C18:AF19)</f>
        <v>21658.35</v>
      </c>
      <c r="AM20" s="452">
        <f>SUM(AG18:AG19)</f>
        <v>0</v>
      </c>
    </row>
    <row r="21" spans="1:40" ht="15.75" x14ac:dyDescent="0.25">
      <c r="A21" s="368" t="str">
        <f>'[1]TEMP Summary'!A15</f>
        <v>01-00-1000</v>
      </c>
      <c r="B21" s="454" t="s">
        <v>190</v>
      </c>
      <c r="C21" s="483">
        <v>836.93</v>
      </c>
      <c r="D21" s="485">
        <v>210.62</v>
      </c>
      <c r="E21" s="485">
        <v>350.71</v>
      </c>
      <c r="F21" s="485">
        <v>401.1</v>
      </c>
      <c r="G21" s="485">
        <v>506.39</v>
      </c>
      <c r="H21" s="485">
        <v>431.44</v>
      </c>
      <c r="I21" s="485">
        <v>698.02</v>
      </c>
      <c r="J21" s="485">
        <v>1114.53</v>
      </c>
      <c r="K21" s="485">
        <v>774.93</v>
      </c>
      <c r="L21" s="485">
        <v>418.26</v>
      </c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490"/>
      <c r="AB21" s="490"/>
      <c r="AC21" s="490"/>
      <c r="AD21" s="490"/>
      <c r="AE21" s="490"/>
      <c r="AF21" s="490"/>
      <c r="AG21" s="491"/>
      <c r="AH21" s="418">
        <f t="shared" si="5"/>
        <v>5742.93</v>
      </c>
      <c r="AJ21" s="129" t="s">
        <v>60</v>
      </c>
      <c r="AK21" s="130" t="s">
        <v>211</v>
      </c>
      <c r="AL21" s="290">
        <f>SUM(C20:Z21)-SUM(C29:Z29)</f>
        <v>23684.119999999988</v>
      </c>
      <c r="AM21" s="291">
        <f>SUM(AA20:AG21)-SUM(AA29:AG29)</f>
        <v>1402.4900000000002</v>
      </c>
    </row>
    <row r="22" spans="1:40" ht="15.75" x14ac:dyDescent="0.25">
      <c r="A22" s="368" t="s">
        <v>60</v>
      </c>
      <c r="B22" s="462" t="s">
        <v>215</v>
      </c>
      <c r="C22" s="463"/>
      <c r="D22" s="464"/>
      <c r="E22" s="464"/>
      <c r="F22" s="464">
        <v>21.46</v>
      </c>
      <c r="G22" s="464"/>
      <c r="H22" s="464"/>
      <c r="I22" s="464"/>
      <c r="J22" s="464"/>
      <c r="K22" s="464"/>
      <c r="L22" s="464"/>
      <c r="M22" s="464"/>
      <c r="N22" s="464"/>
      <c r="O22" s="464"/>
      <c r="P22" s="464"/>
      <c r="Q22" s="464"/>
      <c r="R22" s="464"/>
      <c r="S22" s="464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5"/>
      <c r="AH22" s="466"/>
      <c r="AJ22" s="361" t="s">
        <v>60</v>
      </c>
      <c r="AK22" s="362" t="s">
        <v>217</v>
      </c>
      <c r="AL22" s="363">
        <f>SUM(C22:AE23)</f>
        <v>21.46</v>
      </c>
      <c r="AM22" s="364">
        <f>SUM(AF22:AG23)</f>
        <v>0</v>
      </c>
    </row>
    <row r="23" spans="1:40" ht="16.5" thickBot="1" x14ac:dyDescent="0.3">
      <c r="A23" s="369" t="s">
        <v>60</v>
      </c>
      <c r="B23" s="455" t="s">
        <v>216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60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6"/>
      <c r="B24" s="457" t="s">
        <v>65</v>
      </c>
      <c r="C24" s="475">
        <f>SUM(C18:C23)</f>
        <v>2634.08</v>
      </c>
      <c r="D24" s="476">
        <f t="shared" ref="D24:AG24" si="6">SUM(D18:D23)</f>
        <v>1500.42</v>
      </c>
      <c r="E24" s="476">
        <f t="shared" si="6"/>
        <v>1761</v>
      </c>
      <c r="F24" s="476">
        <f t="shared" si="6"/>
        <v>2142.19</v>
      </c>
      <c r="G24" s="476">
        <f t="shared" si="6"/>
        <v>1862.8899999999999</v>
      </c>
      <c r="H24" s="476">
        <f t="shared" si="6"/>
        <v>2338.23</v>
      </c>
      <c r="I24" s="476">
        <f t="shared" si="6"/>
        <v>2228.6000000000004</v>
      </c>
      <c r="J24" s="476">
        <f t="shared" si="6"/>
        <v>3669.8599999999997</v>
      </c>
      <c r="K24" s="476">
        <f t="shared" si="6"/>
        <v>3200.2799999999997</v>
      </c>
      <c r="L24" s="476">
        <f t="shared" si="6"/>
        <v>1945.64</v>
      </c>
      <c r="M24" s="476">
        <f t="shared" si="6"/>
        <v>1633.33</v>
      </c>
      <c r="N24" s="476">
        <f t="shared" si="6"/>
        <v>1566.8200000000002</v>
      </c>
      <c r="O24" s="476">
        <f t="shared" si="6"/>
        <v>1681.9499999999998</v>
      </c>
      <c r="P24" s="476">
        <f t="shared" si="6"/>
        <v>2116.16</v>
      </c>
      <c r="Q24" s="476">
        <f t="shared" si="6"/>
        <v>3211.36</v>
      </c>
      <c r="R24" s="476">
        <f t="shared" si="6"/>
        <v>2070.1799999999998</v>
      </c>
      <c r="S24" s="476">
        <f t="shared" si="6"/>
        <v>1294.99</v>
      </c>
      <c r="T24" s="476">
        <f t="shared" si="6"/>
        <v>1177.27</v>
      </c>
      <c r="U24" s="476">
        <f t="shared" si="6"/>
        <v>895.22</v>
      </c>
      <c r="V24" s="476">
        <f t="shared" si="6"/>
        <v>1096.2</v>
      </c>
      <c r="W24" s="476">
        <f t="shared" si="6"/>
        <v>1677.49</v>
      </c>
      <c r="X24" s="476">
        <f t="shared" si="6"/>
        <v>2186.04</v>
      </c>
      <c r="Y24" s="476">
        <f t="shared" si="6"/>
        <v>437.73</v>
      </c>
      <c r="Z24" s="476">
        <f t="shared" si="6"/>
        <v>407.39</v>
      </c>
      <c r="AA24" s="476">
        <f t="shared" si="6"/>
        <v>353.08000000000004</v>
      </c>
      <c r="AB24" s="476">
        <f t="shared" si="6"/>
        <v>234.94</v>
      </c>
      <c r="AC24" s="476">
        <f t="shared" si="6"/>
        <v>89.65</v>
      </c>
      <c r="AD24" s="476">
        <f t="shared" si="6"/>
        <v>487.12</v>
      </c>
      <c r="AE24" s="476">
        <f t="shared" si="6"/>
        <v>731.28</v>
      </c>
      <c r="AF24" s="476">
        <f t="shared" si="6"/>
        <v>910.5</v>
      </c>
      <c r="AG24" s="477">
        <f t="shared" si="6"/>
        <v>0</v>
      </c>
      <c r="AH24" s="461">
        <f t="shared" si="5"/>
        <v>47541.89</v>
      </c>
      <c r="AJ24" s="135" t="s">
        <v>84</v>
      </c>
      <c r="AK24" s="136" t="s">
        <v>33</v>
      </c>
      <c r="AL24" s="292">
        <f>SUM(AH26:AH27)</f>
        <v>-96.019999999999868</v>
      </c>
      <c r="AM24" s="293"/>
      <c r="AN24" s="116" t="s">
        <v>132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7" t="s">
        <v>76</v>
      </c>
      <c r="AK25" s="521"/>
      <c r="AL25" s="522">
        <f>SUM(AL20:AM24)</f>
        <v>46670.399999999987</v>
      </c>
      <c r="AM25" s="523"/>
      <c r="AN25" s="294">
        <f>AL25-(AH24+AH26+AH27-AH29)</f>
        <v>0</v>
      </c>
    </row>
    <row r="26" spans="1:40" ht="15.75" x14ac:dyDescent="0.25">
      <c r="A26" s="416"/>
      <c r="B26" s="415" t="s">
        <v>189</v>
      </c>
      <c r="C26" s="414">
        <f>SUM(C3:C7)-(C18+C20+C22)</f>
        <v>0</v>
      </c>
      <c r="D26" s="414">
        <f t="shared" ref="D26:AG26" si="7">SUM(D3:D7)-(D18+D20+D22)</f>
        <v>-74.560000000000059</v>
      </c>
      <c r="E26" s="414">
        <f t="shared" si="7"/>
        <v>0</v>
      </c>
      <c r="F26" s="414">
        <f t="shared" si="7"/>
        <v>-21.459999999999809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-96.019999999999868</v>
      </c>
    </row>
    <row r="27" spans="1:40" ht="16.5" thickBot="1" x14ac:dyDescent="0.3">
      <c r="A27" s="413"/>
      <c r="B27" s="183" t="s">
        <v>188</v>
      </c>
      <c r="C27" s="412">
        <f>SUM(C9:C13)-(C19+C21+C23)</f>
        <v>0</v>
      </c>
      <c r="D27" s="412">
        <f t="shared" ref="D27:AG27" si="8">SUM(D9:D13)-(D19+D21+D23)</f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212</v>
      </c>
      <c r="B29" s="449" t="s">
        <v>202</v>
      </c>
      <c r="C29" s="484">
        <v>41.49</v>
      </c>
      <c r="D29" s="484">
        <v>23.57</v>
      </c>
      <c r="E29" s="484">
        <v>26.8</v>
      </c>
      <c r="F29" s="484">
        <v>35.19</v>
      </c>
      <c r="G29" s="484">
        <v>27.51</v>
      </c>
      <c r="H29" s="484">
        <v>45.31</v>
      </c>
      <c r="I29" s="484">
        <v>34.89</v>
      </c>
      <c r="J29" s="484">
        <v>63.27</v>
      </c>
      <c r="K29" s="484">
        <v>51.66</v>
      </c>
      <c r="L29" s="484">
        <v>34.159999999999997</v>
      </c>
      <c r="M29" s="484">
        <v>30.48</v>
      </c>
      <c r="N29" s="484">
        <v>24.73</v>
      </c>
      <c r="O29" s="484">
        <v>29.75</v>
      </c>
      <c r="P29" s="484">
        <v>34.53</v>
      </c>
      <c r="Q29" s="484">
        <v>57.51</v>
      </c>
      <c r="R29" s="484">
        <v>35.81</v>
      </c>
      <c r="S29" s="484">
        <v>19.79</v>
      </c>
      <c r="T29" s="484">
        <v>18</v>
      </c>
      <c r="U29" s="484">
        <v>12.4</v>
      </c>
      <c r="V29" s="484">
        <v>15.84</v>
      </c>
      <c r="W29" s="484">
        <v>24.16</v>
      </c>
      <c r="X29" s="484">
        <v>33.01</v>
      </c>
      <c r="Y29" s="484">
        <v>5.43</v>
      </c>
      <c r="Z29" s="484">
        <v>6.82</v>
      </c>
      <c r="AA29" s="493">
        <v>5.48</v>
      </c>
      <c r="AB29" s="493">
        <v>4.7</v>
      </c>
      <c r="AC29" s="493">
        <v>0.78</v>
      </c>
      <c r="AD29" s="493">
        <v>6.19</v>
      </c>
      <c r="AE29" s="493">
        <v>12.19</v>
      </c>
      <c r="AF29" s="493">
        <v>14.02</v>
      </c>
      <c r="AG29" s="489"/>
      <c r="AH29" s="450">
        <f>SUM(C29:AG29)</f>
        <v>775.46999999999991</v>
      </c>
      <c r="AJ29" s="211" t="s">
        <v>212</v>
      </c>
      <c r="AK29" s="212" t="s">
        <v>204</v>
      </c>
      <c r="AL29" s="271">
        <f>SUM(C29:Z29)</f>
        <v>732.10999999999979</v>
      </c>
      <c r="AM29" s="272">
        <f>SUM(AA29:AG29)</f>
        <v>43.36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6" t="s">
        <v>57</v>
      </c>
      <c r="AK31" s="517"/>
    </row>
    <row r="32" spans="1:40" x14ac:dyDescent="0.25">
      <c r="A32" s="168"/>
      <c r="B32" s="139" t="s">
        <v>75</v>
      </c>
      <c r="C32" s="144">
        <v>182</v>
      </c>
      <c r="D32" s="144">
        <v>110</v>
      </c>
      <c r="E32" s="144">
        <v>141</v>
      </c>
      <c r="F32" s="144">
        <v>115</v>
      </c>
      <c r="G32" s="144">
        <v>105</v>
      </c>
      <c r="H32" s="144">
        <v>133</v>
      </c>
      <c r="I32" s="144">
        <v>137</v>
      </c>
      <c r="J32" s="144">
        <v>272</v>
      </c>
      <c r="K32" s="144">
        <v>233</v>
      </c>
      <c r="L32" s="144">
        <v>172</v>
      </c>
      <c r="M32" s="144">
        <v>167</v>
      </c>
      <c r="N32" s="144">
        <v>185</v>
      </c>
      <c r="O32" s="144">
        <v>208</v>
      </c>
      <c r="P32" s="144">
        <v>285</v>
      </c>
      <c r="Q32" s="144">
        <v>453</v>
      </c>
      <c r="R32" s="144">
        <v>318</v>
      </c>
      <c r="S32" s="144">
        <v>176</v>
      </c>
      <c r="T32" s="144">
        <v>148</v>
      </c>
      <c r="U32" s="144">
        <v>103</v>
      </c>
      <c r="V32" s="144">
        <v>141</v>
      </c>
      <c r="W32" s="144">
        <v>220</v>
      </c>
      <c r="X32" s="144">
        <v>324</v>
      </c>
      <c r="Y32" s="144">
        <v>71</v>
      </c>
      <c r="Z32" s="144">
        <v>50</v>
      </c>
      <c r="AA32" s="144">
        <v>51</v>
      </c>
      <c r="AB32" s="144">
        <v>40</v>
      </c>
      <c r="AC32" s="144">
        <v>6</v>
      </c>
      <c r="AD32" s="144">
        <v>75</v>
      </c>
      <c r="AE32" s="144">
        <v>110</v>
      </c>
      <c r="AF32" s="144">
        <v>149</v>
      </c>
      <c r="AG32" s="144">
        <f>'[1]TEMP Summary'!$T$22</f>
        <v>0</v>
      </c>
      <c r="AH32" s="411">
        <f t="shared" ref="AH32:AH44" si="9">SUM(C32:AG32)</f>
        <v>4880</v>
      </c>
      <c r="AJ32" s="257">
        <f>AH32+AH39</f>
        <v>6203</v>
      </c>
      <c r="AK32" s="258" t="s">
        <v>75</v>
      </c>
    </row>
    <row r="33" spans="1:37" x14ac:dyDescent="0.25">
      <c r="A33" s="168"/>
      <c r="B33" s="143" t="s">
        <v>74</v>
      </c>
      <c r="C33" s="144">
        <v>29</v>
      </c>
      <c r="D33" s="144">
        <v>27</v>
      </c>
      <c r="E33" s="144">
        <v>10</v>
      </c>
      <c r="F33" s="144">
        <v>24</v>
      </c>
      <c r="G33" s="144">
        <v>7</v>
      </c>
      <c r="H33" s="144">
        <v>13</v>
      </c>
      <c r="I33" s="144">
        <v>18</v>
      </c>
      <c r="J33" s="144">
        <v>57</v>
      </c>
      <c r="K33" s="144">
        <v>67</v>
      </c>
      <c r="L33" s="144">
        <v>29</v>
      </c>
      <c r="M33" s="144">
        <v>52</v>
      </c>
      <c r="N33" s="144">
        <v>63</v>
      </c>
      <c r="O33" s="144">
        <v>64</v>
      </c>
      <c r="P33" s="144">
        <v>86</v>
      </c>
      <c r="Q33" s="144">
        <v>117</v>
      </c>
      <c r="R33" s="144">
        <v>63</v>
      </c>
      <c r="S33" s="144">
        <v>33</v>
      </c>
      <c r="T33" s="144">
        <v>30</v>
      </c>
      <c r="U33" s="144">
        <v>27</v>
      </c>
      <c r="V33" s="144">
        <v>30</v>
      </c>
      <c r="W33" s="144">
        <v>64</v>
      </c>
      <c r="X33" s="144">
        <v>43</v>
      </c>
      <c r="Y33" s="144">
        <v>10</v>
      </c>
      <c r="Z33" s="144">
        <v>2</v>
      </c>
      <c r="AA33" s="144">
        <v>6</v>
      </c>
      <c r="AB33" s="144">
        <v>3</v>
      </c>
      <c r="AC33" s="144">
        <f>'[1]TEMP Summary'!$T$22</f>
        <v>0</v>
      </c>
      <c r="AD33" s="144">
        <v>4</v>
      </c>
      <c r="AE33" s="144">
        <v>6</v>
      </c>
      <c r="AF33" s="144">
        <v>18</v>
      </c>
      <c r="AG33" s="144">
        <f>'[1]TEMP Summary'!$T$22</f>
        <v>0</v>
      </c>
      <c r="AH33" s="410">
        <f t="shared" si="9"/>
        <v>1002</v>
      </c>
      <c r="AJ33" s="257">
        <f t="shared" ref="AJ33:AJ37" si="10">AH33+AH40</f>
        <v>1209</v>
      </c>
      <c r="AK33" s="258" t="s">
        <v>74</v>
      </c>
    </row>
    <row r="34" spans="1:37" x14ac:dyDescent="0.25">
      <c r="A34" s="168"/>
      <c r="B34" s="143" t="s">
        <v>208</v>
      </c>
      <c r="C34" s="144">
        <v>3</v>
      </c>
      <c r="D34" s="144">
        <v>1</v>
      </c>
      <c r="E34" s="144">
        <v>1</v>
      </c>
      <c r="F34" s="144">
        <f>'[1]TEMP Summary'!$T$22</f>
        <v>0</v>
      </c>
      <c r="G34" s="144">
        <f>'[1]TEMP Summary'!$T$22</f>
        <v>0</v>
      </c>
      <c r="H34" s="144">
        <v>5</v>
      </c>
      <c r="I34" s="144">
        <f>'[1]TEMP Summary'!$T$22</f>
        <v>0</v>
      </c>
      <c r="J34" s="144">
        <v>6</v>
      </c>
      <c r="K34" s="144">
        <f>'[1]TEMP Summary'!$T$22</f>
        <v>0</v>
      </c>
      <c r="L34" s="144">
        <v>4</v>
      </c>
      <c r="M34" s="144">
        <v>5</v>
      </c>
      <c r="N34" s="144">
        <v>5</v>
      </c>
      <c r="O34" s="144">
        <f>'[1]TEMP Summary'!$T$22</f>
        <v>0</v>
      </c>
      <c r="P34" s="144">
        <v>5</v>
      </c>
      <c r="Q34" s="144">
        <v>12</v>
      </c>
      <c r="R34" s="144">
        <v>5</v>
      </c>
      <c r="S34" s="144">
        <v>4</v>
      </c>
      <c r="T34" s="144">
        <v>2</v>
      </c>
      <c r="U34" s="144">
        <f>'[1]TEMP Summary'!$T$22</f>
        <v>0</v>
      </c>
      <c r="V34" s="144">
        <f>'[1]TEMP Summary'!$T$22</f>
        <v>0</v>
      </c>
      <c r="W34" s="144">
        <v>10</v>
      </c>
      <c r="X34" s="144">
        <f>'[1]TEMP Summary'!$T$22</f>
        <v>0</v>
      </c>
      <c r="Y34" s="144">
        <v>1</v>
      </c>
      <c r="Z34" s="144">
        <f>'[1]TEMP Summary'!$T$22</f>
        <v>0</v>
      </c>
      <c r="AA34" s="144">
        <v>2</v>
      </c>
      <c r="AB34" s="144">
        <f>'[1]TEMP Summary'!$T$22</f>
        <v>0</v>
      </c>
      <c r="AC34" s="144">
        <f>'[1]TEMP Summary'!$T$22</f>
        <v>0</v>
      </c>
      <c r="AD34" s="144">
        <v>4</v>
      </c>
      <c r="AE34" s="144">
        <v>2</v>
      </c>
      <c r="AF34" s="144">
        <v>1</v>
      </c>
      <c r="AG34" s="144">
        <f>'[1]TEMP Summary'!$T$22</f>
        <v>0</v>
      </c>
      <c r="AH34" s="410">
        <f t="shared" si="9"/>
        <v>78</v>
      </c>
      <c r="AJ34" s="257">
        <f t="shared" si="10"/>
        <v>110</v>
      </c>
      <c r="AK34" s="258" t="s">
        <v>209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v>27</v>
      </c>
      <c r="F35" s="144">
        <v>64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v>16</v>
      </c>
      <c r="AF35" s="144">
        <f>'[1]TEMP Summary'!$T$22</f>
        <v>0</v>
      </c>
      <c r="AG35" s="144">
        <f>'[1]TEMP Summary'!$T$22</f>
        <v>0</v>
      </c>
      <c r="AH35" s="410">
        <f t="shared" si="9"/>
        <v>107</v>
      </c>
      <c r="AJ35" s="257">
        <f t="shared" si="10"/>
        <v>162</v>
      </c>
      <c r="AK35" s="258" t="s">
        <v>72</v>
      </c>
    </row>
    <row r="36" spans="1:37" x14ac:dyDescent="0.25">
      <c r="A36" s="168"/>
      <c r="B36" s="143" t="s">
        <v>73</v>
      </c>
      <c r="C36" s="144">
        <v>42</v>
      </c>
      <c r="D36" s="144">
        <v>37</v>
      </c>
      <c r="E36" s="144">
        <v>48</v>
      </c>
      <c r="F36" s="144">
        <v>49</v>
      </c>
      <c r="G36" s="144">
        <v>49</v>
      </c>
      <c r="H36" s="144">
        <v>53</v>
      </c>
      <c r="I36" s="144">
        <v>45</v>
      </c>
      <c r="J36" s="144">
        <v>58</v>
      </c>
      <c r="K36" s="144">
        <v>40</v>
      </c>
      <c r="L36" s="144">
        <v>25</v>
      </c>
      <c r="M36" s="144">
        <v>80</v>
      </c>
      <c r="N36" s="144">
        <v>59</v>
      </c>
      <c r="O36" s="144">
        <v>61</v>
      </c>
      <c r="P36" s="144">
        <v>62</v>
      </c>
      <c r="Q36" s="144">
        <v>60</v>
      </c>
      <c r="R36" s="144">
        <v>32</v>
      </c>
      <c r="S36" s="144">
        <v>57</v>
      </c>
      <c r="T36" s="144">
        <v>52</v>
      </c>
      <c r="U36" s="144">
        <v>35</v>
      </c>
      <c r="V36" s="144">
        <v>35</v>
      </c>
      <c r="W36" s="144">
        <v>46</v>
      </c>
      <c r="X36" s="144">
        <v>38</v>
      </c>
      <c r="Y36" s="144">
        <v>6</v>
      </c>
      <c r="Z36" s="144">
        <v>5</v>
      </c>
      <c r="AA36" s="144">
        <v>13</v>
      </c>
      <c r="AB36" s="144">
        <v>3</v>
      </c>
      <c r="AC36" s="144">
        <v>10</v>
      </c>
      <c r="AD36" s="144">
        <v>5</v>
      </c>
      <c r="AE36" s="144">
        <v>9</v>
      </c>
      <c r="AF36" s="144">
        <v>11</v>
      </c>
      <c r="AG36" s="144">
        <f>'[1]TEMP Summary'!$T$22</f>
        <v>0</v>
      </c>
      <c r="AH36" s="410">
        <f t="shared" si="9"/>
        <v>1125</v>
      </c>
      <c r="AJ36" s="257">
        <f t="shared" si="10"/>
        <v>1484</v>
      </c>
      <c r="AK36" s="258" t="s">
        <v>73</v>
      </c>
    </row>
    <row r="37" spans="1:37" x14ac:dyDescent="0.25">
      <c r="A37" s="168"/>
      <c r="B37" s="143" t="s">
        <v>71</v>
      </c>
      <c r="C37" s="144">
        <v>2</v>
      </c>
      <c r="D37" s="144">
        <v>3</v>
      </c>
      <c r="E37" s="144">
        <v>12</v>
      </c>
      <c r="F37" s="144">
        <v>12</v>
      </c>
      <c r="G37" s="144">
        <v>19</v>
      </c>
      <c r="H37" s="144">
        <v>17</v>
      </c>
      <c r="I37" s="144">
        <v>10</v>
      </c>
      <c r="J37" s="144">
        <v>5</v>
      </c>
      <c r="K37" s="144">
        <v>9</v>
      </c>
      <c r="L37" s="144">
        <v>1</v>
      </c>
      <c r="M37" s="144">
        <v>6</v>
      </c>
      <c r="N37" s="144">
        <v>3</v>
      </c>
      <c r="O37" s="144">
        <v>6</v>
      </c>
      <c r="P37" s="144">
        <v>12</v>
      </c>
      <c r="Q37" s="144">
        <v>9</v>
      </c>
      <c r="R37" s="144">
        <v>11</v>
      </c>
      <c r="S37" s="144">
        <v>14</v>
      </c>
      <c r="T37" s="144">
        <v>15</v>
      </c>
      <c r="U37" s="144">
        <v>10</v>
      </c>
      <c r="V37" s="144">
        <v>4</v>
      </c>
      <c r="W37" s="144">
        <v>6</v>
      </c>
      <c r="X37" s="144">
        <v>5</v>
      </c>
      <c r="Y37" s="144">
        <f>'[1]TEMP Summary'!$T$22</f>
        <v>0</v>
      </c>
      <c r="Z37" s="144">
        <f>'[1]TEMP Summary'!$T$22</f>
        <v>0</v>
      </c>
      <c r="AA37" s="144">
        <v>3</v>
      </c>
      <c r="AB37" s="144">
        <v>1</v>
      </c>
      <c r="AC37" s="144">
        <f>'[1]TEMP Summary'!$T$22</f>
        <v>0</v>
      </c>
      <c r="AD37" s="144">
        <v>3</v>
      </c>
      <c r="AE37" s="144">
        <v>4</v>
      </c>
      <c r="AF37" s="144">
        <v>5</v>
      </c>
      <c r="AG37" s="144">
        <f>'[1]TEMP Summary'!$T$22</f>
        <v>0</v>
      </c>
      <c r="AH37" s="410">
        <f t="shared" si="9"/>
        <v>207</v>
      </c>
      <c r="AJ37" s="257">
        <f t="shared" si="10"/>
        <v>248</v>
      </c>
      <c r="AK37" s="258" t="s">
        <v>71</v>
      </c>
    </row>
    <row r="38" spans="1:37" ht="15.75" thickBot="1" x14ac:dyDescent="0.3">
      <c r="A38" s="168"/>
      <c r="B38" s="440" t="s">
        <v>187</v>
      </c>
      <c r="C38" s="441">
        <f t="shared" ref="C38:AG38" si="11">SUM(C32:C37)</f>
        <v>258</v>
      </c>
      <c r="D38" s="442">
        <f t="shared" si="11"/>
        <v>178</v>
      </c>
      <c r="E38" s="442">
        <f t="shared" si="11"/>
        <v>239</v>
      </c>
      <c r="F38" s="442">
        <f t="shared" si="11"/>
        <v>264</v>
      </c>
      <c r="G38" s="442">
        <f t="shared" si="11"/>
        <v>180</v>
      </c>
      <c r="H38" s="442">
        <f t="shared" si="11"/>
        <v>221</v>
      </c>
      <c r="I38" s="442">
        <f t="shared" si="11"/>
        <v>210</v>
      </c>
      <c r="J38" s="442">
        <f t="shared" si="11"/>
        <v>398</v>
      </c>
      <c r="K38" s="442">
        <f t="shared" si="11"/>
        <v>349</v>
      </c>
      <c r="L38" s="442">
        <f t="shared" si="11"/>
        <v>231</v>
      </c>
      <c r="M38" s="442">
        <f t="shared" si="11"/>
        <v>310</v>
      </c>
      <c r="N38" s="442">
        <f t="shared" si="11"/>
        <v>315</v>
      </c>
      <c r="O38" s="442">
        <f t="shared" si="11"/>
        <v>339</v>
      </c>
      <c r="P38" s="442">
        <f t="shared" si="11"/>
        <v>450</v>
      </c>
      <c r="Q38" s="442">
        <f t="shared" si="11"/>
        <v>651</v>
      </c>
      <c r="R38" s="442">
        <f t="shared" si="11"/>
        <v>429</v>
      </c>
      <c r="S38" s="442">
        <f t="shared" si="11"/>
        <v>284</v>
      </c>
      <c r="T38" s="442">
        <f t="shared" si="11"/>
        <v>247</v>
      </c>
      <c r="U38" s="442">
        <f t="shared" si="11"/>
        <v>175</v>
      </c>
      <c r="V38" s="442">
        <f t="shared" si="11"/>
        <v>210</v>
      </c>
      <c r="W38" s="442">
        <f t="shared" si="11"/>
        <v>346</v>
      </c>
      <c r="X38" s="442">
        <f t="shared" si="11"/>
        <v>410</v>
      </c>
      <c r="Y38" s="442">
        <f t="shared" si="11"/>
        <v>88</v>
      </c>
      <c r="Z38" s="442">
        <f t="shared" si="11"/>
        <v>57</v>
      </c>
      <c r="AA38" s="442">
        <f t="shared" si="11"/>
        <v>75</v>
      </c>
      <c r="AB38" s="442">
        <f t="shared" si="11"/>
        <v>47</v>
      </c>
      <c r="AC38" s="442">
        <f t="shared" si="11"/>
        <v>16</v>
      </c>
      <c r="AD38" s="442">
        <f t="shared" si="11"/>
        <v>91</v>
      </c>
      <c r="AE38" s="442">
        <f t="shared" si="11"/>
        <v>147</v>
      </c>
      <c r="AF38" s="442">
        <f t="shared" si="11"/>
        <v>184</v>
      </c>
      <c r="AG38" s="443">
        <f t="shared" si="11"/>
        <v>0</v>
      </c>
      <c r="AH38" s="409">
        <f>SUM(C38:AG38)</f>
        <v>7399</v>
      </c>
      <c r="AJ38" s="257"/>
      <c r="AK38" s="258"/>
    </row>
    <row r="39" spans="1:37" x14ac:dyDescent="0.25">
      <c r="A39" s="168"/>
      <c r="B39" s="408" t="s">
        <v>75</v>
      </c>
      <c r="C39" s="140">
        <f>369-C32</f>
        <v>187</v>
      </c>
      <c r="D39" s="140">
        <f>184-D32</f>
        <v>74</v>
      </c>
      <c r="E39" s="140">
        <f>226-E32</f>
        <v>85</v>
      </c>
      <c r="F39" s="140">
        <f>227-F32</f>
        <v>112</v>
      </c>
      <c r="G39" s="140">
        <f>225-G32</f>
        <v>120</v>
      </c>
      <c r="H39" s="140">
        <f>218-H32</f>
        <v>85</v>
      </c>
      <c r="I39" s="140">
        <f>288-I32</f>
        <v>151</v>
      </c>
      <c r="J39" s="140">
        <f>492-J32</f>
        <v>220</v>
      </c>
      <c r="K39" s="140">
        <f>420-K32</f>
        <v>187</v>
      </c>
      <c r="L39" s="140">
        <f>274-L32</f>
        <v>102</v>
      </c>
      <c r="M39" s="140"/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9"/>
        <v>1323</v>
      </c>
      <c r="AJ39" s="257"/>
      <c r="AK39" s="258"/>
    </row>
    <row r="40" spans="1:37" x14ac:dyDescent="0.25">
      <c r="A40" s="168"/>
      <c r="B40" s="143" t="s">
        <v>74</v>
      </c>
      <c r="C40" s="144">
        <f>47-C33</f>
        <v>18</v>
      </c>
      <c r="D40" s="144">
        <f>36-D33</f>
        <v>9</v>
      </c>
      <c r="E40" s="144">
        <f>20-E33</f>
        <v>10</v>
      </c>
      <c r="F40" s="144">
        <f>46-F33</f>
        <v>22</v>
      </c>
      <c r="G40" s="144">
        <f>15-G33</f>
        <v>8</v>
      </c>
      <c r="H40" s="144">
        <f>34-H33</f>
        <v>21</v>
      </c>
      <c r="I40" s="144">
        <f>47-I33</f>
        <v>29</v>
      </c>
      <c r="J40" s="144">
        <f>89-J33</f>
        <v>32</v>
      </c>
      <c r="K40" s="144">
        <f>99-K33</f>
        <v>32</v>
      </c>
      <c r="L40" s="144">
        <f>55-L33</f>
        <v>26</v>
      </c>
      <c r="M40" s="144"/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9"/>
        <v>207</v>
      </c>
      <c r="AJ40" s="257"/>
      <c r="AK40" s="258"/>
    </row>
    <row r="41" spans="1:37" x14ac:dyDescent="0.25">
      <c r="A41" s="168"/>
      <c r="B41" s="143" t="s">
        <v>208</v>
      </c>
      <c r="C41" s="144">
        <f>8-C34</f>
        <v>5</v>
      </c>
      <c r="D41" s="144">
        <f>3-D34</f>
        <v>2</v>
      </c>
      <c r="E41" s="144">
        <v>0</v>
      </c>
      <c r="F41" s="144">
        <v>2</v>
      </c>
      <c r="G41" s="144">
        <v>9</v>
      </c>
      <c r="H41" s="144">
        <f>7-H34</f>
        <v>2</v>
      </c>
      <c r="I41" s="144">
        <v>4</v>
      </c>
      <c r="J41" s="144">
        <f>10-J34</f>
        <v>4</v>
      </c>
      <c r="K41" s="144">
        <v>4</v>
      </c>
      <c r="L41" s="144">
        <f>'[1]TEMP Summary'!$T$22</f>
        <v>0</v>
      </c>
      <c r="M41" s="144"/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9"/>
        <v>32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v>15</v>
      </c>
      <c r="J42" s="144">
        <v>16</v>
      </c>
      <c r="K42" s="144">
        <v>24</v>
      </c>
      <c r="L42" s="144">
        <f>'[1]TEMP Summary'!$T$22</f>
        <v>0</v>
      </c>
      <c r="M42" s="144"/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9"/>
        <v>55</v>
      </c>
      <c r="AJ42" s="257"/>
      <c r="AK42" s="258"/>
    </row>
    <row r="43" spans="1:37" x14ac:dyDescent="0.25">
      <c r="A43" s="168"/>
      <c r="B43" s="143" t="s">
        <v>73</v>
      </c>
      <c r="C43" s="144">
        <f>76-C36</f>
        <v>34</v>
      </c>
      <c r="D43" s="144">
        <f>53-D36</f>
        <v>16</v>
      </c>
      <c r="E43" s="144">
        <f>94-E36</f>
        <v>46</v>
      </c>
      <c r="F43" s="144">
        <f>77-F36</f>
        <v>28</v>
      </c>
      <c r="G43" s="144">
        <f>95-G36</f>
        <v>46</v>
      </c>
      <c r="H43" s="144">
        <f>85-H36</f>
        <v>32</v>
      </c>
      <c r="I43" s="144">
        <f>105-I36</f>
        <v>60</v>
      </c>
      <c r="J43" s="144">
        <f>99-J36</f>
        <v>41</v>
      </c>
      <c r="K43" s="144">
        <f>77-K36</f>
        <v>37</v>
      </c>
      <c r="L43" s="144">
        <f>44-L36</f>
        <v>19</v>
      </c>
      <c r="M43" s="144"/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9"/>
        <v>359</v>
      </c>
      <c r="AJ43" s="257"/>
      <c r="AK43" s="258"/>
    </row>
    <row r="44" spans="1:37" x14ac:dyDescent="0.25">
      <c r="A44" s="168"/>
      <c r="B44" s="143" t="s">
        <v>71</v>
      </c>
      <c r="C44" s="144">
        <f>8-C37</f>
        <v>6</v>
      </c>
      <c r="D44" s="144">
        <f>4-D37</f>
        <v>1</v>
      </c>
      <c r="E44" s="144">
        <f>17-E37</f>
        <v>5</v>
      </c>
      <c r="F44" s="144">
        <f>19-F37</f>
        <v>7</v>
      </c>
      <c r="G44" s="144">
        <f>20-G37</f>
        <v>1</v>
      </c>
      <c r="H44" s="144">
        <f>18-H37</f>
        <v>1</v>
      </c>
      <c r="I44" s="144">
        <f>17-I37</f>
        <v>7</v>
      </c>
      <c r="J44" s="144">
        <f>11-J37</f>
        <v>6</v>
      </c>
      <c r="K44" s="144">
        <f>14-K37</f>
        <v>5</v>
      </c>
      <c r="L44" s="144">
        <f>3-L37</f>
        <v>2</v>
      </c>
      <c r="M44" s="144"/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9"/>
        <v>41</v>
      </c>
      <c r="AJ44" s="257"/>
      <c r="AK44" s="259"/>
    </row>
    <row r="45" spans="1:37" x14ac:dyDescent="0.25">
      <c r="A45" s="168"/>
      <c r="B45" s="444" t="s">
        <v>186</v>
      </c>
      <c r="C45" s="441">
        <f t="shared" ref="C45:AG45" si="12">SUM(C39:C44)</f>
        <v>250</v>
      </c>
      <c r="D45" s="441">
        <f t="shared" si="12"/>
        <v>102</v>
      </c>
      <c r="E45" s="441">
        <f t="shared" si="12"/>
        <v>146</v>
      </c>
      <c r="F45" s="441">
        <f t="shared" si="12"/>
        <v>171</v>
      </c>
      <c r="G45" s="441">
        <f t="shared" si="12"/>
        <v>184</v>
      </c>
      <c r="H45" s="441">
        <f t="shared" si="12"/>
        <v>141</v>
      </c>
      <c r="I45" s="441">
        <f t="shared" si="12"/>
        <v>266</v>
      </c>
      <c r="J45" s="441">
        <f t="shared" si="12"/>
        <v>319</v>
      </c>
      <c r="K45" s="441">
        <f t="shared" si="12"/>
        <v>289</v>
      </c>
      <c r="L45" s="441">
        <f t="shared" si="12"/>
        <v>149</v>
      </c>
      <c r="M45" s="441">
        <f t="shared" si="12"/>
        <v>0</v>
      </c>
      <c r="N45" s="441">
        <f t="shared" si="12"/>
        <v>0</v>
      </c>
      <c r="O45" s="441">
        <f t="shared" si="12"/>
        <v>0</v>
      </c>
      <c r="P45" s="441">
        <f t="shared" si="12"/>
        <v>0</v>
      </c>
      <c r="Q45" s="441">
        <f t="shared" si="12"/>
        <v>0</v>
      </c>
      <c r="R45" s="441">
        <f t="shared" si="12"/>
        <v>0</v>
      </c>
      <c r="S45" s="441">
        <f t="shared" si="12"/>
        <v>0</v>
      </c>
      <c r="T45" s="441">
        <f t="shared" si="12"/>
        <v>0</v>
      </c>
      <c r="U45" s="441">
        <f t="shared" si="12"/>
        <v>0</v>
      </c>
      <c r="V45" s="441">
        <f t="shared" si="12"/>
        <v>0</v>
      </c>
      <c r="W45" s="441">
        <f t="shared" si="12"/>
        <v>0</v>
      </c>
      <c r="X45" s="441">
        <f t="shared" si="12"/>
        <v>0</v>
      </c>
      <c r="Y45" s="441">
        <f t="shared" si="12"/>
        <v>0</v>
      </c>
      <c r="Z45" s="441">
        <f t="shared" si="12"/>
        <v>0</v>
      </c>
      <c r="AA45" s="441">
        <f t="shared" si="12"/>
        <v>0</v>
      </c>
      <c r="AB45" s="441">
        <f t="shared" si="12"/>
        <v>0</v>
      </c>
      <c r="AC45" s="441">
        <f t="shared" si="12"/>
        <v>0</v>
      </c>
      <c r="AD45" s="441">
        <f t="shared" si="12"/>
        <v>0</v>
      </c>
      <c r="AE45" s="441">
        <f t="shared" si="12"/>
        <v>0</v>
      </c>
      <c r="AF45" s="441">
        <f t="shared" si="12"/>
        <v>0</v>
      </c>
      <c r="AG45" s="443">
        <f t="shared" si="12"/>
        <v>0</v>
      </c>
      <c r="AH45" s="407">
        <f>SUM(C45:AG45)</f>
        <v>2017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3">SUM(C32:C37,C39:C44)</f>
        <v>508</v>
      </c>
      <c r="D46" s="147">
        <f t="shared" si="13"/>
        <v>280</v>
      </c>
      <c r="E46" s="147">
        <f t="shared" si="13"/>
        <v>385</v>
      </c>
      <c r="F46" s="147">
        <f t="shared" si="13"/>
        <v>435</v>
      </c>
      <c r="G46" s="147">
        <f t="shared" si="13"/>
        <v>364</v>
      </c>
      <c r="H46" s="147">
        <f t="shared" si="13"/>
        <v>362</v>
      </c>
      <c r="I46" s="147">
        <f t="shared" si="13"/>
        <v>476</v>
      </c>
      <c r="J46" s="147">
        <f t="shared" si="13"/>
        <v>717</v>
      </c>
      <c r="K46" s="147">
        <f t="shared" si="13"/>
        <v>638</v>
      </c>
      <c r="L46" s="147">
        <f t="shared" si="13"/>
        <v>380</v>
      </c>
      <c r="M46" s="147">
        <f t="shared" si="13"/>
        <v>310</v>
      </c>
      <c r="N46" s="147">
        <f t="shared" si="13"/>
        <v>315</v>
      </c>
      <c r="O46" s="147">
        <f t="shared" si="13"/>
        <v>339</v>
      </c>
      <c r="P46" s="147">
        <f t="shared" si="13"/>
        <v>450</v>
      </c>
      <c r="Q46" s="147">
        <f t="shared" si="13"/>
        <v>651</v>
      </c>
      <c r="R46" s="147">
        <f t="shared" si="13"/>
        <v>429</v>
      </c>
      <c r="S46" s="147">
        <f t="shared" si="13"/>
        <v>284</v>
      </c>
      <c r="T46" s="147">
        <f t="shared" si="13"/>
        <v>247</v>
      </c>
      <c r="U46" s="147">
        <f t="shared" si="13"/>
        <v>175</v>
      </c>
      <c r="V46" s="147">
        <f t="shared" si="13"/>
        <v>210</v>
      </c>
      <c r="W46" s="147">
        <f t="shared" si="13"/>
        <v>346</v>
      </c>
      <c r="X46" s="147">
        <f t="shared" si="13"/>
        <v>410</v>
      </c>
      <c r="Y46" s="147">
        <f t="shared" si="13"/>
        <v>88</v>
      </c>
      <c r="Z46" s="147">
        <f t="shared" si="13"/>
        <v>57</v>
      </c>
      <c r="AA46" s="147">
        <f t="shared" si="13"/>
        <v>75</v>
      </c>
      <c r="AB46" s="147">
        <f t="shared" si="13"/>
        <v>47</v>
      </c>
      <c r="AC46" s="147">
        <f t="shared" si="13"/>
        <v>16</v>
      </c>
      <c r="AD46" s="147">
        <f t="shared" si="13"/>
        <v>91</v>
      </c>
      <c r="AE46" s="147">
        <f t="shared" si="13"/>
        <v>147</v>
      </c>
      <c r="AF46" s="147">
        <f t="shared" si="13"/>
        <v>184</v>
      </c>
      <c r="AG46" s="262">
        <f t="shared" si="13"/>
        <v>0</v>
      </c>
      <c r="AH46" s="148">
        <f>SUM(AH32:AH37,AH39:AH44)</f>
        <v>9416</v>
      </c>
      <c r="AJ46" s="260">
        <f>AH46</f>
        <v>9416</v>
      </c>
      <c r="AK46" s="261" t="s">
        <v>76</v>
      </c>
    </row>
    <row r="49" spans="33:34" x14ac:dyDescent="0.25">
      <c r="AG49" s="488" t="s">
        <v>238</v>
      </c>
      <c r="AH49" s="487">
        <f>AH29/(AH20+AH21)</f>
        <v>2.9984827206473729E-2</v>
      </c>
    </row>
    <row r="51" spans="33:34" x14ac:dyDescent="0.25">
      <c r="AG51" s="488" t="s">
        <v>239</v>
      </c>
      <c r="AH51" s="487">
        <f>AH29/AH24</f>
        <v>1.6311299361468381E-2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1" priority="1" operator="notEqual">
      <formula>0</formula>
    </cfRule>
  </conditionalFormatting>
  <conditionalFormatting sqref="C26:AG28">
    <cfRule type="cellIs" dxfId="0" priority="2" operator="notEqual">
      <formula>0</formula>
    </cfRule>
  </conditionalFormatting>
  <pageMargins left="0.25" right="0.25" top="0.75" bottom="0.75" header="0.3" footer="0.3"/>
  <pageSetup paperSize="17" scale="61" fitToHeight="4" orientation="landscape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"/>
    </sheetView>
  </sheetViews>
  <sheetFormatPr defaultColWidth="9.140625" defaultRowHeight="15" x14ac:dyDescent="0.25"/>
  <cols>
    <col min="1" max="1" width="13.42578125" style="59" bestFit="1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220</v>
      </c>
      <c r="B1" s="254" t="str">
        <f>CONCATENATE('Cash Flow'!C1, " ",'Cash Flow'!D1)</f>
        <v>October 2022</v>
      </c>
    </row>
    <row r="2" spans="1:5" ht="15.75" thickBot="1" x14ac:dyDescent="0.3"/>
    <row r="3" spans="1:5" x14ac:dyDescent="0.25">
      <c r="A3" s="250" t="s">
        <v>61</v>
      </c>
      <c r="B3" s="251" t="s">
        <v>228</v>
      </c>
      <c r="C3" s="128">
        <f>'Visitor Center'!AH3</f>
        <v>156.78</v>
      </c>
      <c r="D3" s="116"/>
    </row>
    <row r="4" spans="1:5" x14ac:dyDescent="0.25">
      <c r="A4" s="252" t="s">
        <v>221</v>
      </c>
      <c r="B4" s="253" t="s">
        <v>222</v>
      </c>
      <c r="C4" s="131">
        <f>'Visitor Center'!AH4</f>
        <v>1658.0500000000002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225</v>
      </c>
      <c r="B6" s="130" t="s">
        <v>226</v>
      </c>
      <c r="C6" s="131">
        <f>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1814.8300000000002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229</v>
      </c>
      <c r="C10" s="128">
        <f>'Visitor Center'!AL7</f>
        <v>353.51</v>
      </c>
    </row>
    <row r="11" spans="1:5" x14ac:dyDescent="0.25">
      <c r="A11" s="129" t="s">
        <v>60</v>
      </c>
      <c r="B11" s="130" t="s">
        <v>230</v>
      </c>
      <c r="C11" s="131">
        <f>'Visitor Center'!AM7</f>
        <v>20.239999999999998</v>
      </c>
    </row>
    <row r="12" spans="1:5" x14ac:dyDescent="0.25">
      <c r="A12" s="129" t="s">
        <v>60</v>
      </c>
      <c r="B12" s="130" t="s">
        <v>231</v>
      </c>
      <c r="C12" s="131">
        <f>'Visitor Center'!AL8</f>
        <v>1303.4000000000001</v>
      </c>
      <c r="E12" s="255">
        <f>D8-D17</f>
        <v>0</v>
      </c>
    </row>
    <row r="13" spans="1:5" x14ac:dyDescent="0.25">
      <c r="A13" s="129" t="s">
        <v>60</v>
      </c>
      <c r="B13" s="130" t="s">
        <v>232</v>
      </c>
      <c r="C13" s="131">
        <f>'Visitor Center'!AM8</f>
        <v>94.429999999999993</v>
      </c>
    </row>
    <row r="14" spans="1:5" x14ac:dyDescent="0.25">
      <c r="A14" s="129" t="s">
        <v>227</v>
      </c>
      <c r="B14" s="130" t="s">
        <v>233</v>
      </c>
      <c r="C14" s="131">
        <f>'Visitor Center'!AL13</f>
        <v>40.33</v>
      </c>
    </row>
    <row r="15" spans="1:5" x14ac:dyDescent="0.25">
      <c r="A15" s="129" t="s">
        <v>227</v>
      </c>
      <c r="B15" s="130" t="s">
        <v>234</v>
      </c>
      <c r="C15" s="131">
        <f>'Visitor Center'!AM13</f>
        <v>2.92</v>
      </c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1814.8300000000002</v>
      </c>
    </row>
  </sheetData>
  <sheetProtection algorithmName="SHA-512" hashValue="LKIttsxKCgQQH4S7sOuv2ttmGag1QwBd+rDO+y/IZOSkE9Dbf5Lvbb7qkawRtkIEG7jRF82AqWYA4otYT2NyqA==" saltValue="FphecNRqCRFP/z9gzSS6B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J17" sqref="J17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118</v>
      </c>
      <c r="B1" s="254" t="str">
        <f>CONCATENATE('Cash Flow'!C1, "  ",'Cash Flow'!D1)</f>
        <v>October  2022</v>
      </c>
    </row>
    <row r="2" spans="1:5" ht="15.75" thickBot="1" x14ac:dyDescent="0.3"/>
    <row r="3" spans="1:5" x14ac:dyDescent="0.25">
      <c r="A3" s="250" t="s">
        <v>61</v>
      </c>
      <c r="B3" s="251" t="s">
        <v>101</v>
      </c>
      <c r="C3" s="128">
        <f>'Box Canon'!AH3+'Box Canon'!AH9</f>
        <v>543.79000000000008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41064</v>
      </c>
      <c r="D4" s="116"/>
    </row>
    <row r="5" spans="1:5" x14ac:dyDescent="0.25">
      <c r="A5" s="252" t="s">
        <v>80</v>
      </c>
      <c r="B5" s="253" t="s">
        <v>102</v>
      </c>
      <c r="C5" s="131">
        <f>'Box Canon'!AH5+'Box Canon'!AH11</f>
        <v>65</v>
      </c>
      <c r="D5" s="116"/>
    </row>
    <row r="6" spans="1:5" x14ac:dyDescent="0.25">
      <c r="A6" s="252" t="s">
        <v>79</v>
      </c>
      <c r="B6" s="253" t="s">
        <v>103</v>
      </c>
      <c r="C6" s="131">
        <f>'Box Canon'!AH6+'Box Canon'!AH12</f>
        <v>5751.0799999999981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22.000000000000007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97</v>
      </c>
      <c r="C9" s="131">
        <f>-('Box Canon'!AH26+'Box Canon'!AH27)</f>
        <v>96.019999999999868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47541.889999999992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93</v>
      </c>
      <c r="C13" s="128">
        <f>'Box Canon'!AL20</f>
        <v>21658.35</v>
      </c>
    </row>
    <row r="14" spans="1:5" x14ac:dyDescent="0.25">
      <c r="A14" s="129" t="s">
        <v>60</v>
      </c>
      <c r="B14" s="130" t="s">
        <v>95</v>
      </c>
      <c r="C14" s="131">
        <f>'Box Canon'!AM20</f>
        <v>0</v>
      </c>
    </row>
    <row r="15" spans="1:5" x14ac:dyDescent="0.25">
      <c r="A15" s="129" t="s">
        <v>60</v>
      </c>
      <c r="B15" s="130" t="s">
        <v>94</v>
      </c>
      <c r="C15" s="131">
        <f>'Box Canon'!AL21</f>
        <v>23684.119999999988</v>
      </c>
      <c r="E15" s="255">
        <f>D11-D22</f>
        <v>0</v>
      </c>
    </row>
    <row r="16" spans="1:5" x14ac:dyDescent="0.25">
      <c r="A16" s="129" t="s">
        <v>60</v>
      </c>
      <c r="B16" s="130" t="s">
        <v>96</v>
      </c>
      <c r="C16" s="131">
        <f>'Box Canon'!AM21</f>
        <v>1402.4900000000002</v>
      </c>
    </row>
    <row r="17" spans="1:4" x14ac:dyDescent="0.25">
      <c r="A17" s="129" t="s">
        <v>60</v>
      </c>
      <c r="B17" s="130" t="s">
        <v>218</v>
      </c>
      <c r="C17" s="131">
        <f>'Box Canon'!AL22</f>
        <v>21.46</v>
      </c>
    </row>
    <row r="18" spans="1:4" x14ac:dyDescent="0.25">
      <c r="A18" s="129" t="s">
        <v>60</v>
      </c>
      <c r="B18" s="130" t="s">
        <v>219</v>
      </c>
      <c r="C18" s="131">
        <f>'Box Canon'!AM22</f>
        <v>0</v>
      </c>
    </row>
    <row r="19" spans="1:4" x14ac:dyDescent="0.25">
      <c r="A19" s="129" t="s">
        <v>212</v>
      </c>
      <c r="B19" s="130" t="s">
        <v>213</v>
      </c>
      <c r="C19" s="131">
        <f>'Box Canon'!AL29</f>
        <v>732.10999999999979</v>
      </c>
    </row>
    <row r="20" spans="1:4" x14ac:dyDescent="0.25">
      <c r="A20" s="129" t="s">
        <v>212</v>
      </c>
      <c r="B20" s="130" t="s">
        <v>214</v>
      </c>
      <c r="C20" s="131">
        <f>'Box Canon'!AM29</f>
        <v>43.36</v>
      </c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47541.889999999985</v>
      </c>
    </row>
    <row r="23" spans="1:4" ht="15.75" thickBot="1" x14ac:dyDescent="0.3"/>
    <row r="24" spans="1:4" x14ac:dyDescent="0.25">
      <c r="B24" s="524" t="s">
        <v>57</v>
      </c>
      <c r="C24" s="525"/>
    </row>
    <row r="25" spans="1:4" x14ac:dyDescent="0.25">
      <c r="B25" s="143" t="s">
        <v>75</v>
      </c>
      <c r="C25" s="145">
        <f>'Box Canon'!AJ32</f>
        <v>6203</v>
      </c>
    </row>
    <row r="26" spans="1:4" x14ac:dyDescent="0.25">
      <c r="B26" s="143" t="s">
        <v>74</v>
      </c>
      <c r="C26" s="145">
        <f>'Box Canon'!AJ33</f>
        <v>1209</v>
      </c>
    </row>
    <row r="27" spans="1:4" x14ac:dyDescent="0.25">
      <c r="B27" s="143" t="s">
        <v>208</v>
      </c>
      <c r="C27" s="145">
        <f>'Box Canon'!AJ34</f>
        <v>110</v>
      </c>
    </row>
    <row r="28" spans="1:4" x14ac:dyDescent="0.25">
      <c r="B28" s="143" t="s">
        <v>72</v>
      </c>
      <c r="C28" s="145">
        <f>'Box Canon'!AJ35</f>
        <v>162</v>
      </c>
    </row>
    <row r="29" spans="1:4" x14ac:dyDescent="0.25">
      <c r="B29" s="143" t="s">
        <v>73</v>
      </c>
      <c r="C29" s="145">
        <f>'Box Canon'!AJ36</f>
        <v>1484</v>
      </c>
    </row>
    <row r="30" spans="1:4" x14ac:dyDescent="0.25">
      <c r="B30" s="143" t="s">
        <v>71</v>
      </c>
      <c r="C30" s="145">
        <f>'Box Canon'!AJ37</f>
        <v>248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9416</v>
      </c>
    </row>
  </sheetData>
  <sheetProtection algorithmName="SHA-512" hashValue="/2P6A7UXi/14nEZ3Hr93jSJkrajzqOY659olvJrfYQi83ZJc8Gdn6mWThlr8xPL+BVO6G09nRwVG2YyNJ9wLPw==" saltValue="FdsKLjQlxTnziID3F8jSuw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workbookViewId="0">
      <selection activeCell="G35" sqref="G35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117</v>
      </c>
      <c r="B1" s="179" t="str">
        <f>CONCATENATE('Cash Flow'!C1, "  ",'Cash Flow'!D1)</f>
        <v>October  2022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32" t="s">
        <v>185</v>
      </c>
      <c r="B3" s="533"/>
      <c r="C3" s="534"/>
    </row>
    <row r="4" spans="1:6" s="181" customFormat="1" ht="24" customHeight="1" x14ac:dyDescent="0.25">
      <c r="A4" s="89" t="s">
        <v>30</v>
      </c>
      <c r="B4" s="84" t="s">
        <v>31</v>
      </c>
      <c r="C4" s="186">
        <f>Pool!AH4</f>
        <v>124166.29999999999</v>
      </c>
      <c r="D4" s="526" t="s">
        <v>176</v>
      </c>
      <c r="E4" s="527"/>
      <c r="F4" s="527"/>
    </row>
    <row r="5" spans="1:6" ht="14.1" customHeight="1" x14ac:dyDescent="0.25">
      <c r="A5" s="90" t="s">
        <v>177</v>
      </c>
      <c r="B5" s="91" t="s">
        <v>63</v>
      </c>
      <c r="C5" s="187">
        <f>Pool!AH5</f>
        <v>0</v>
      </c>
      <c r="D5" s="530"/>
      <c r="E5" s="531"/>
      <c r="F5" s="531"/>
    </row>
    <row r="6" spans="1:6" ht="14.1" customHeight="1" x14ac:dyDescent="0.25">
      <c r="A6" s="90" t="s">
        <v>155</v>
      </c>
      <c r="B6" s="91" t="s">
        <v>196</v>
      </c>
      <c r="C6" s="187">
        <f>Pool!AH7+Pool!AH8</f>
        <v>31731</v>
      </c>
      <c r="D6" s="528" t="s">
        <v>198</v>
      </c>
      <c r="E6" s="529"/>
      <c r="F6" s="529"/>
    </row>
    <row r="7" spans="1:6" ht="14.1" customHeight="1" x14ac:dyDescent="0.25">
      <c r="A7" s="90" t="s">
        <v>160</v>
      </c>
      <c r="B7" s="91" t="s">
        <v>161</v>
      </c>
      <c r="C7" s="187">
        <f>Pool!AH9</f>
        <v>0</v>
      </c>
      <c r="D7" s="530"/>
      <c r="E7" s="531"/>
      <c r="F7" s="531"/>
    </row>
    <row r="8" spans="1:6" ht="14.1" customHeight="1" x14ac:dyDescent="0.25">
      <c r="A8" s="90" t="s">
        <v>162</v>
      </c>
      <c r="B8" s="91" t="s">
        <v>171</v>
      </c>
      <c r="C8" s="187">
        <f>Pool!AH10</f>
        <v>6</v>
      </c>
      <c r="D8" s="530"/>
      <c r="E8" s="531"/>
      <c r="F8" s="531"/>
    </row>
    <row r="9" spans="1:6" ht="14.1" customHeight="1" x14ac:dyDescent="0.25">
      <c r="A9" s="90" t="s">
        <v>34</v>
      </c>
      <c r="B9" s="91" t="s">
        <v>35</v>
      </c>
      <c r="C9" s="187">
        <f>Pool!AH14</f>
        <v>1080</v>
      </c>
      <c r="D9" s="530"/>
      <c r="E9" s="531"/>
      <c r="F9" s="531"/>
    </row>
    <row r="10" spans="1:6" ht="14.1" customHeight="1" x14ac:dyDescent="0.25">
      <c r="A10" s="90" t="s">
        <v>36</v>
      </c>
      <c r="B10" s="91" t="s">
        <v>37</v>
      </c>
      <c r="C10" s="187">
        <f>Pool!AH15</f>
        <v>8807.24</v>
      </c>
      <c r="D10" s="530"/>
      <c r="E10" s="531"/>
      <c r="F10" s="531"/>
    </row>
    <row r="11" spans="1:6" ht="14.1" customHeight="1" x14ac:dyDescent="0.25">
      <c r="A11" s="90" t="s">
        <v>201</v>
      </c>
      <c r="B11" s="91" t="s">
        <v>112</v>
      </c>
      <c r="C11" s="187">
        <f>Pool!AH16</f>
        <v>0</v>
      </c>
      <c r="D11" s="530"/>
      <c r="E11" s="531"/>
      <c r="F11" s="531"/>
    </row>
    <row r="12" spans="1:6" ht="14.1" customHeight="1" x14ac:dyDescent="0.25">
      <c r="A12" s="90" t="s">
        <v>77</v>
      </c>
      <c r="B12" s="91" t="s">
        <v>197</v>
      </c>
      <c r="C12" s="187">
        <f>Pool!AH17</f>
        <v>3069</v>
      </c>
      <c r="D12" s="530" t="s">
        <v>199</v>
      </c>
      <c r="E12" s="531"/>
      <c r="F12" s="531"/>
    </row>
    <row r="13" spans="1:6" ht="14.1" hidden="1" customHeight="1" x14ac:dyDescent="0.25">
      <c r="A13" s="90" t="s">
        <v>38</v>
      </c>
      <c r="B13" s="91" t="s">
        <v>39</v>
      </c>
      <c r="C13" s="187">
        <f>Pool!AH18</f>
        <v>0</v>
      </c>
      <c r="D13" s="530"/>
      <c r="E13" s="531"/>
      <c r="F13" s="531"/>
    </row>
    <row r="14" spans="1:6" ht="14.1" customHeight="1" x14ac:dyDescent="0.25">
      <c r="A14" s="90" t="s">
        <v>40</v>
      </c>
      <c r="B14" s="91" t="s">
        <v>41</v>
      </c>
      <c r="C14" s="187">
        <f>Pool!AH20</f>
        <v>0</v>
      </c>
      <c r="D14" s="530"/>
      <c r="E14" s="531"/>
      <c r="F14" s="531"/>
    </row>
    <row r="15" spans="1:6" ht="14.1" customHeight="1" thickBot="1" x14ac:dyDescent="0.3">
      <c r="A15" s="81" t="s">
        <v>164</v>
      </c>
      <c r="B15" s="94" t="s">
        <v>165</v>
      </c>
      <c r="C15" s="188">
        <f>Pool!AH19</f>
        <v>855</v>
      </c>
      <c r="D15" s="530"/>
      <c r="E15" s="531"/>
      <c r="F15" s="531"/>
    </row>
    <row r="16" spans="1:6" ht="14.1" hidden="1" customHeight="1" x14ac:dyDescent="0.25">
      <c r="A16" s="471" t="s">
        <v>42</v>
      </c>
      <c r="B16" s="472" t="s">
        <v>43</v>
      </c>
      <c r="C16" s="473">
        <f>Pool!AH21</f>
        <v>0</v>
      </c>
      <c r="D16" s="530"/>
      <c r="E16" s="531"/>
      <c r="F16" s="531"/>
    </row>
    <row r="17" spans="1:7" ht="14.1" hidden="1" customHeight="1" x14ac:dyDescent="0.25">
      <c r="A17" s="90" t="s">
        <v>44</v>
      </c>
      <c r="B17" s="91" t="s">
        <v>45</v>
      </c>
      <c r="C17" s="187">
        <f>Pool!AH22</f>
        <v>0</v>
      </c>
      <c r="D17" s="530"/>
      <c r="E17" s="531"/>
      <c r="F17" s="531"/>
    </row>
    <row r="18" spans="1:7" ht="14.1" hidden="1" customHeight="1" x14ac:dyDescent="0.25">
      <c r="A18" s="90" t="s">
        <v>46</v>
      </c>
      <c r="B18" s="91" t="s">
        <v>47</v>
      </c>
      <c r="C18" s="187">
        <f>Pool!AH23</f>
        <v>0</v>
      </c>
      <c r="D18" s="530"/>
      <c r="E18" s="531"/>
      <c r="F18" s="531"/>
    </row>
    <row r="19" spans="1:7" ht="14.1" hidden="1" customHeight="1" x14ac:dyDescent="0.25">
      <c r="A19" s="90" t="s">
        <v>48</v>
      </c>
      <c r="B19" s="91" t="s">
        <v>49</v>
      </c>
      <c r="C19" s="187">
        <f>Pool!AH24</f>
        <v>0</v>
      </c>
      <c r="D19" s="530"/>
      <c r="E19" s="531"/>
      <c r="F19" s="531"/>
    </row>
    <row r="20" spans="1:7" ht="14.1" hidden="1" customHeight="1" x14ac:dyDescent="0.25">
      <c r="A20" s="90" t="s">
        <v>50</v>
      </c>
      <c r="B20" s="91" t="s">
        <v>51</v>
      </c>
      <c r="C20" s="187">
        <f>Pool!AH25</f>
        <v>0</v>
      </c>
      <c r="D20" s="530"/>
      <c r="E20" s="531"/>
      <c r="F20" s="531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Pool!AH26</f>
        <v>0</v>
      </c>
      <c r="D21" s="530"/>
      <c r="E21" s="531"/>
      <c r="F21" s="531"/>
    </row>
    <row r="22" spans="1:7" ht="14.1" customHeight="1" x14ac:dyDescent="0.25">
      <c r="A22" s="189"/>
      <c r="B22" s="207" t="s">
        <v>64</v>
      </c>
      <c r="C22" s="474">
        <f>C4+C5+C6+C7+C8+C9+C10+C11+C12+C15</f>
        <v>169714.53999999998</v>
      </c>
      <c r="D22" s="531" t="s">
        <v>174</v>
      </c>
      <c r="E22" s="531"/>
      <c r="F22" s="531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32" t="s">
        <v>178</v>
      </c>
      <c r="B24" s="533"/>
      <c r="C24" s="534"/>
    </row>
    <row r="25" spans="1:7" ht="14.1" customHeight="1" x14ac:dyDescent="0.25">
      <c r="A25" s="126" t="s">
        <v>61</v>
      </c>
      <c r="B25" s="394" t="s">
        <v>62</v>
      </c>
      <c r="C25" s="395">
        <f>Pool!AH3</f>
        <v>816.54</v>
      </c>
      <c r="D25" s="530"/>
      <c r="E25" s="531"/>
      <c r="F25" s="531"/>
    </row>
    <row r="26" spans="1:7" ht="14.1" hidden="1" customHeight="1" x14ac:dyDescent="0.25">
      <c r="A26" s="129" t="s">
        <v>156</v>
      </c>
      <c r="B26" s="396" t="s">
        <v>157</v>
      </c>
      <c r="C26" s="398">
        <f>Pool!AH11</f>
        <v>0</v>
      </c>
      <c r="D26" s="530" t="s">
        <v>183</v>
      </c>
      <c r="E26" s="531"/>
      <c r="F26" s="531"/>
    </row>
    <row r="27" spans="1:7" ht="14.1" hidden="1" customHeight="1" x14ac:dyDescent="0.25">
      <c r="A27" s="129" t="s">
        <v>167</v>
      </c>
      <c r="B27" s="396" t="s">
        <v>168</v>
      </c>
      <c r="C27" s="398">
        <f>Pool!AH12</f>
        <v>0</v>
      </c>
      <c r="D27" s="530" t="s">
        <v>172</v>
      </c>
      <c r="E27" s="531"/>
      <c r="F27" s="531"/>
    </row>
    <row r="28" spans="1:7" ht="14.1" hidden="1" customHeight="1" x14ac:dyDescent="0.25">
      <c r="A28" s="129" t="s">
        <v>169</v>
      </c>
      <c r="B28" s="396" t="s">
        <v>170</v>
      </c>
      <c r="C28" s="398">
        <f>Pool!AH13</f>
        <v>0</v>
      </c>
      <c r="D28" s="530" t="s">
        <v>173</v>
      </c>
      <c r="E28" s="531"/>
      <c r="F28" s="531"/>
    </row>
    <row r="29" spans="1:7" ht="14.1" customHeight="1" thickBot="1" x14ac:dyDescent="0.3">
      <c r="A29" s="135" t="s">
        <v>110</v>
      </c>
      <c r="B29" s="397" t="s">
        <v>86</v>
      </c>
      <c r="C29" s="399">
        <f>Pool!AH27</f>
        <v>198</v>
      </c>
      <c r="D29" s="530" t="s">
        <v>179</v>
      </c>
      <c r="E29" s="531"/>
      <c r="F29" s="531"/>
    </row>
    <row r="30" spans="1:7" ht="14.1" customHeight="1" x14ac:dyDescent="0.25">
      <c r="A30" s="116"/>
      <c r="B30" s="400" t="s">
        <v>180</v>
      </c>
      <c r="C30" s="401">
        <f>SUM(C25:C29)</f>
        <v>1014.54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181</v>
      </c>
      <c r="C32" s="404">
        <f>C30+C22</f>
        <v>170729.08</v>
      </c>
      <c r="D32" s="531" t="s">
        <v>182</v>
      </c>
      <c r="E32" s="531"/>
      <c r="F32" s="531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32" t="s">
        <v>184</v>
      </c>
      <c r="B34" s="533"/>
      <c r="C34" s="534"/>
    </row>
    <row r="35" spans="1:6" ht="14.1" customHeight="1" x14ac:dyDescent="0.25">
      <c r="A35" s="126" t="s">
        <v>60</v>
      </c>
      <c r="B35" s="127" t="s">
        <v>87</v>
      </c>
      <c r="C35" s="157">
        <f>Pool!AL32</f>
        <v>27819.950000000004</v>
      </c>
    </row>
    <row r="36" spans="1:6" ht="14.1" customHeight="1" x14ac:dyDescent="0.25">
      <c r="A36" s="129" t="s">
        <v>60</v>
      </c>
      <c r="B36" s="130" t="s">
        <v>89</v>
      </c>
      <c r="C36" s="158">
        <f>Pool!AM32</f>
        <v>157.75</v>
      </c>
    </row>
    <row r="37" spans="1:6" ht="14.1" customHeight="1" x14ac:dyDescent="0.25">
      <c r="A37" s="129" t="s">
        <v>60</v>
      </c>
      <c r="B37" s="130" t="s">
        <v>88</v>
      </c>
      <c r="C37" s="158">
        <f>Pool!AL33</f>
        <v>124236.26000000002</v>
      </c>
    </row>
    <row r="38" spans="1:6" ht="14.1" customHeight="1" x14ac:dyDescent="0.25">
      <c r="A38" s="129" t="s">
        <v>60</v>
      </c>
      <c r="B38" s="130" t="s">
        <v>90</v>
      </c>
      <c r="C38" s="158">
        <f>Pool!AM33</f>
        <v>14065.61</v>
      </c>
      <c r="D38" s="266"/>
      <c r="E38" s="210"/>
    </row>
    <row r="39" spans="1:6" ht="14.1" customHeight="1" x14ac:dyDescent="0.25">
      <c r="A39" s="129" t="s">
        <v>60</v>
      </c>
      <c r="B39" s="130" t="s">
        <v>113</v>
      </c>
      <c r="C39" s="158">
        <f>Pool!AL34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114</v>
      </c>
      <c r="C40" s="158">
        <f>Pool!AM34</f>
        <v>0</v>
      </c>
      <c r="E40" s="210"/>
    </row>
    <row r="41" spans="1:6" ht="14.1" customHeight="1" x14ac:dyDescent="0.25">
      <c r="A41" s="129" t="s">
        <v>203</v>
      </c>
      <c r="B41" s="130" t="s">
        <v>205</v>
      </c>
      <c r="C41" s="158">
        <f>Pool!AL44</f>
        <v>3880.3699999999994</v>
      </c>
      <c r="E41" s="210"/>
    </row>
    <row r="42" spans="1:6" ht="14.1" customHeight="1" x14ac:dyDescent="0.25">
      <c r="A42" s="129" t="s">
        <v>203</v>
      </c>
      <c r="B42" s="130" t="s">
        <v>206</v>
      </c>
      <c r="C42" s="158">
        <f>Pool!AM44</f>
        <v>441.58</v>
      </c>
      <c r="E42" s="210"/>
    </row>
    <row r="43" spans="1:6" ht="14.1" hidden="1" customHeight="1" x14ac:dyDescent="0.25">
      <c r="A43" s="129" t="s">
        <v>60</v>
      </c>
      <c r="B43" s="130" t="s">
        <v>115</v>
      </c>
      <c r="C43" s="158">
        <f>Pool!AL35</f>
        <v>0</v>
      </c>
      <c r="E43" s="210"/>
    </row>
    <row r="44" spans="1:6" ht="14.1" hidden="1" customHeight="1" x14ac:dyDescent="0.25">
      <c r="A44" s="129" t="s">
        <v>60</v>
      </c>
      <c r="B44" s="130" t="s">
        <v>116</v>
      </c>
      <c r="C44" s="158">
        <f>Pool!AM35</f>
        <v>0</v>
      </c>
      <c r="E44" s="210"/>
    </row>
    <row r="45" spans="1:6" ht="14.1" customHeight="1" x14ac:dyDescent="0.25">
      <c r="A45" s="129" t="s">
        <v>32</v>
      </c>
      <c r="B45" s="130" t="s">
        <v>91</v>
      </c>
      <c r="C45" s="158">
        <f>Pool!AL42</f>
        <v>-30.039999999998258</v>
      </c>
      <c r="D45" s="535"/>
      <c r="E45" s="536"/>
      <c r="F45" s="536"/>
    </row>
    <row r="46" spans="1:6" ht="14.1" customHeight="1" x14ac:dyDescent="0.25">
      <c r="A46" s="361" t="s">
        <v>67</v>
      </c>
      <c r="B46" s="362" t="s">
        <v>92</v>
      </c>
      <c r="C46" s="379">
        <f>Pool!AL36</f>
        <v>0</v>
      </c>
    </row>
    <row r="47" spans="1:6" ht="14.1" customHeight="1" thickBot="1" x14ac:dyDescent="0.3">
      <c r="A47" s="135" t="s">
        <v>110</v>
      </c>
      <c r="B47" s="136" t="s">
        <v>175</v>
      </c>
      <c r="C47" s="159">
        <f>Pool!AL37</f>
        <v>157.6</v>
      </c>
    </row>
    <row r="48" spans="1:6" ht="12.75" customHeight="1" x14ac:dyDescent="0.25">
      <c r="A48" s="205"/>
      <c r="B48" s="208" t="s">
        <v>65</v>
      </c>
      <c r="C48" s="209">
        <f>SUM(C35:C47)</f>
        <v>170729.08</v>
      </c>
    </row>
    <row r="49" spans="1:5" ht="5.0999999999999996" customHeight="1" thickBot="1" x14ac:dyDescent="0.3">
      <c r="D49" s="209"/>
      <c r="E49" s="210"/>
    </row>
    <row r="50" spans="1:5" ht="14.1" customHeight="1" x14ac:dyDescent="0.25">
      <c r="B50" s="126" t="s">
        <v>57</v>
      </c>
      <c r="C50" s="236">
        <f>Pool!AJ46</f>
        <v>8430</v>
      </c>
    </row>
    <row r="51" spans="1:5" ht="14.1" customHeight="1" x14ac:dyDescent="0.25">
      <c r="B51" s="129" t="s">
        <v>58</v>
      </c>
      <c r="C51" s="237">
        <f>Pool!AJ47</f>
        <v>1705</v>
      </c>
    </row>
    <row r="52" spans="1:5" ht="14.1" customHeight="1" thickBot="1" x14ac:dyDescent="0.3">
      <c r="B52" s="238" t="s">
        <v>107</v>
      </c>
      <c r="C52" s="239">
        <f>C50+C51</f>
        <v>10135</v>
      </c>
    </row>
    <row r="53" spans="1:5" ht="5.0999999999999996" customHeight="1" thickBot="1" x14ac:dyDescent="0.3"/>
    <row r="54" spans="1:5" ht="14.1" customHeight="1" thickBot="1" x14ac:dyDescent="0.3">
      <c r="B54" s="240" t="s">
        <v>119</v>
      </c>
      <c r="C54" s="241">
        <f>Pool!AJ53</f>
        <v>13.959261000176843</v>
      </c>
    </row>
    <row r="55" spans="1:5" ht="5.0999999999999996" customHeight="1" thickBot="1" x14ac:dyDescent="0.3"/>
    <row r="56" spans="1:5" ht="14.1" customHeight="1" thickBot="1" x14ac:dyDescent="0.3">
      <c r="A56" s="264"/>
      <c r="B56" s="299" t="s">
        <v>131</v>
      </c>
      <c r="C56" s="300" t="s">
        <v>142</v>
      </c>
    </row>
    <row r="57" spans="1:5" ht="14.1" customHeight="1" x14ac:dyDescent="0.25">
      <c r="B57" s="83" t="s">
        <v>136</v>
      </c>
      <c r="C57" s="311">
        <f>Pool!AJ56</f>
        <v>97.172413793103445</v>
      </c>
    </row>
    <row r="58" spans="1:5" ht="14.1" customHeight="1" x14ac:dyDescent="0.25">
      <c r="A58" s="264"/>
      <c r="B58" s="312" t="s">
        <v>137</v>
      </c>
      <c r="C58" s="313">
        <f>Pool!AJ57</f>
        <v>84.833333333333329</v>
      </c>
    </row>
    <row r="59" spans="1:5" ht="14.1" customHeight="1" x14ac:dyDescent="0.25">
      <c r="B59" s="312" t="s">
        <v>139</v>
      </c>
      <c r="C59" s="313">
        <f>Pool!AJ58</f>
        <v>78.11666666666666</v>
      </c>
    </row>
    <row r="60" spans="1:5" ht="14.1" customHeight="1" thickBot="1" x14ac:dyDescent="0.3">
      <c r="B60" s="314" t="s">
        <v>143</v>
      </c>
      <c r="C60" s="315">
        <f>Pool!AJ59</f>
        <v>0.5</v>
      </c>
    </row>
    <row r="61" spans="1:5" x14ac:dyDescent="0.25">
      <c r="A61" s="376"/>
      <c r="B61" s="376"/>
      <c r="C61" s="376"/>
      <c r="E61" s="376"/>
    </row>
    <row r="62" spans="1:5" x14ac:dyDescent="0.25">
      <c r="D62" s="376"/>
    </row>
  </sheetData>
  <sheetProtection algorithmName="SHA-512" hashValue="fjife+iGUeGeo2aeGTK4QrgCJtJdcBsA4ZGH6z4kzBLFcjZe8iB7P/U4DKN5DyCReSkB7M8jae4Qnvt3/fF5KQ==" saltValue="7Dpq9P+7YYqNjIQl7gBJ1w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5:F45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Visitor Center</vt:lpstr>
      <vt:lpstr>Box Canon</vt:lpstr>
      <vt:lpstr>Visitor Center JE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2022-11-04T22:11:55Z</cp:lastPrinted>
  <dcterms:created xsi:type="dcterms:W3CDTF">2017-08-14T15:26:56Z</dcterms:created>
  <dcterms:modified xsi:type="dcterms:W3CDTF">2022-12-08T18:02:48Z</dcterms:modified>
</cp:coreProperties>
</file>