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7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9" i="10" l="1"/>
  <c r="AM9" i="10"/>
  <c r="AM44" i="3" l="1"/>
  <c r="AM10" i="10"/>
  <c r="AH15" i="10" l="1"/>
  <c r="AM15" i="10"/>
  <c r="AL15" i="10"/>
  <c r="AL10" i="10" s="1"/>
  <c r="AM45" i="3"/>
  <c r="AM34" i="3" s="1"/>
  <c r="AL45" i="3"/>
  <c r="AL34" i="3"/>
  <c r="F43" i="9" l="1"/>
  <c r="AL20" i="9"/>
  <c r="AM20" i="9"/>
  <c r="AH5" i="9" l="1"/>
  <c r="AM33" i="3" l="1"/>
  <c r="AL33" i="3"/>
  <c r="AB35" i="3" l="1"/>
  <c r="E30" i="9" l="1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D30" i="9"/>
  <c r="C30" i="9"/>
  <c r="I44" i="9"/>
  <c r="I43" i="9"/>
  <c r="I40" i="9"/>
  <c r="I39" i="9"/>
  <c r="H44" i="9"/>
  <c r="H43" i="9"/>
  <c r="H41" i="9"/>
  <c r="H40" i="9"/>
  <c r="H39" i="9"/>
  <c r="G44" i="9"/>
  <c r="G43" i="9"/>
  <c r="G40" i="9"/>
  <c r="G39" i="9"/>
  <c r="K44" i="9"/>
  <c r="K43" i="9"/>
  <c r="K41" i="9"/>
  <c r="K40" i="9"/>
  <c r="K39" i="9"/>
  <c r="J44" i="9"/>
  <c r="J43" i="9"/>
  <c r="J41" i="9"/>
  <c r="J40" i="9"/>
  <c r="J39" i="9"/>
  <c r="E44" i="9" l="1"/>
  <c r="E43" i="9"/>
  <c r="E41" i="9"/>
  <c r="E40" i="9"/>
  <c r="E39" i="9"/>
  <c r="F44" i="9"/>
  <c r="F40" i="9"/>
  <c r="F39" i="9"/>
  <c r="D44" i="9" l="1"/>
  <c r="D43" i="9"/>
  <c r="D41" i="9"/>
  <c r="D40" i="9"/>
  <c r="D39" i="9"/>
  <c r="C44" i="9"/>
  <c r="C43" i="9"/>
  <c r="C41" i="9"/>
  <c r="C40" i="9"/>
  <c r="C39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AM35" i="3" l="1"/>
  <c r="AL35" i="3"/>
  <c r="AM22" i="9"/>
  <c r="AL22" i="9"/>
  <c r="AM29" i="9"/>
  <c r="AM21" i="9" s="1"/>
  <c r="AL29" i="9"/>
  <c r="AL21" i="9" s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D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F41" i="9" l="1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G34" i="9"/>
  <c r="I34" i="9"/>
  <c r="O34" i="9"/>
  <c r="S34" i="9"/>
  <c r="T34" i="9"/>
  <c r="X34" i="9"/>
  <c r="Z34" i="9"/>
  <c r="AA34" i="9"/>
  <c r="AB34" i="9"/>
  <c r="AD34" i="9"/>
  <c r="AE34" i="9"/>
  <c r="AF34" i="9"/>
  <c r="AG34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AF32" i="9"/>
  <c r="AG32" i="9"/>
  <c r="D35" i="9"/>
  <c r="E35" i="9"/>
  <c r="F35" i="9"/>
  <c r="G35" i="9"/>
  <c r="I35" i="9"/>
  <c r="J35" i="9"/>
  <c r="K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G36" i="9"/>
  <c r="AF37" i="9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N44" i="3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</t>
        </r>
      </text>
    </comment>
    <comment ref="E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Sara W</t>
        </r>
      </text>
    </comment>
    <comment ref="F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</t>
        </r>
      </text>
    </comment>
    <comment ref="G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</t>
        </r>
      </text>
    </comment>
    <comment ref="H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 $2.00 short
Lilly G</t>
        </r>
      </text>
    </comment>
    <comment ref="I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Sydney G
Steve S $8.00 short
Lilly G</t>
        </r>
      </text>
    </comment>
    <comment ref="J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Athena L</t>
        </r>
      </text>
    </comment>
    <comment ref="K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$9.50 short
Sara W
Athena L</t>
        </r>
      </text>
    </comment>
    <comment ref="L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Peg R $19.65 over</t>
        </r>
      </text>
    </comment>
    <comment ref="M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$18 short
Athena L</t>
        </r>
      </text>
    </comment>
    <comment ref="N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$0.90 short
Lillly G
</t>
        </r>
      </text>
    </comment>
    <comment ref="O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$10 over
Lilly G
Olivia C</t>
        </r>
      </text>
    </comment>
    <comment ref="P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</t>
        </r>
      </text>
    </comment>
    <comment ref="Q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$3.00 over
Marina N $0.35 short
deposit short $0.10</t>
        </r>
      </text>
    </comment>
    <comment ref="R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Sara W</t>
        </r>
      </text>
    </comment>
    <comment ref="S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Sara W over $0.25
</t>
        </r>
      </text>
    </comment>
    <comment ref="T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$1.00 short
Lilly G $3.60 over
</t>
        </r>
      </text>
    </comment>
    <comment ref="U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</t>
        </r>
      </text>
    </comment>
    <comment ref="V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</t>
        </r>
      </text>
    </comment>
    <comment ref="W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 $2.50 short</t>
        </r>
      </text>
    </comment>
    <comment ref="X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$1.25 over
Marina N $60.05 over</t>
        </r>
      </text>
    </comment>
    <comment ref="Y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short $25.00
Sara W</t>
        </r>
      </text>
    </comment>
    <comment ref="Z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Sara W</t>
        </r>
      </text>
    </comment>
    <comment ref="AA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Peg R $0.34 over</t>
        </r>
      </text>
    </comment>
    <comment ref="AB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Sara W
over external credit card</t>
        </r>
      </text>
    </comment>
    <comment ref="AC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Sheri H $0.05 short
Steve S</t>
        </r>
      </text>
    </comment>
    <comment ref="AD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Steve S
</t>
        </r>
      </text>
    </comment>
    <comment ref="AE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$0.85 over
Glynn W $1.00 over
</t>
        </r>
      </text>
    </comment>
    <comment ref="AF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over $0.10
Peg R</t>
        </r>
      </text>
    </comment>
    <comment ref="AG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$10.00 over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P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A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E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deposit missing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<sst xmlns="http://schemas.openxmlformats.org/spreadsheetml/2006/main" count="539" uniqueCount="237">
  <si>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</si>
  <si>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</si>
  <si>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</si>
  <si>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</si>
  <si>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</si>
  <si>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</si>
  <si>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</si>
  <si>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</si>
  <si>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</si>
  <si>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</si>
  <si>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</si>
  <si>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</si>
  <si>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</si>
  <si>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</si>
  <si>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</si>
  <si>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</si>
  <si>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</si>
  <si>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</si>
  <si>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</si>
  <si>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</si>
  <si>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</si>
  <si>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</si>
  <si>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</si>
  <si>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</si>
  <si>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</si>
  <si>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</si>
  <si>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</si>
  <si>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</si>
  <si>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</si>
  <si>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</si>
  <si>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</si>
  <si>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</si>
  <si>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</si>
  <si>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</si>
  <si>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</si>
  <si>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</si>
  <si>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</si>
  <si>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</si>
  <si>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</si>
  <si>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</si>
  <si>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</si>
  <si>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</si>
  <si>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</si>
  <si>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</si>
  <si>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</si>
  <si>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</si>
  <si>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</si>
  <si>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</si>
  <si>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</si>
  <si>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</si>
  <si>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</si>
  <si>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</si>
  <si>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</si>
  <si>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</si>
  <si>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</si>
  <si>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</si>
  <si>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</si>
  <si>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</si>
  <si>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</si>
  <si>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</si>
  <si>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</si>
  <si>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</si>
  <si>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</si>
  <si>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</si>
  <si>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</si>
  <si>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</si>
  <si>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</si>
  <si>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</si>
  <si>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</si>
  <si>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</si>
  <si>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</si>
  <si>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</si>
  <si>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</si>
  <si>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</si>
  <si>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</si>
  <si>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</si>
  <si>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</si>
  <si>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</si>
  <si>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</si>
  <si>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</si>
  <si>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</si>
  <si>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</si>
  <si>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</si>
  <si>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</si>
  <si>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</si>
  <si>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</si>
  <si>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</si>
  <si>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</si>
  <si>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</si>
  <si>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</si>
  <si>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</si>
  <si>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</si>
  <si>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</si>
  <si>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</si>
  <si>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</si>
  <si>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</si>
  <si>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</si>
  <si>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</si>
  <si>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</si>
  <si>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</si>
  <si>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</si>
  <si>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</si>
  <si>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</si>
  <si>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</si>
  <si>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</si>
  <si>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</si>
  <si>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</si>
  <si>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</si>
  <si>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</si>
  <si>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</si>
  <si>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</si>
  <si>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</si>
  <si>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</si>
  <si>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</si>
  <si>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</si>
  <si>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</si>
  <si>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</si>
  <si>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</si>
  <si>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</si>
  <si>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</si>
  <si>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</si>
  <si>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</si>
  <si>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</si>
  <si>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</si>
  <si>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</si>
  <si>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</si>
  <si>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</si>
  <si>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</si>
  <si>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</si>
  <si>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</si>
  <si>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</si>
  <si>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</si>
  <si>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</si>
  <si>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</si>
  <si>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</si>
  <si>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</si>
  <si>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</si>
  <si>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</si>
  <si>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</si>
  <si>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</si>
  <si>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</si>
  <si>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</si>
  <si>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</si>
  <si>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</si>
  <si>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</si>
  <si>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</si>
  <si>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</si>
  <si>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</si>
  <si>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</si>
  <si>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</si>
  <si>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</si>
  <si>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</si>
  <si>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</si>
  <si>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</si>
  <si>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</si>
  <si>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</si>
  <si>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</si>
  <si>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</si>
  <si>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</si>
  <si>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</si>
  <si>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</si>
  <si>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</si>
  <si>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</si>
  <si>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</si>
  <si>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</si>
  <si>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</si>
  <si>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</si>
  <si>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</si>
  <si>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</si>
  <si>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</si>
  <si>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</si>
  <si>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</si>
  <si>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</si>
  <si>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</si>
  <si>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</si>
  <si>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</si>
  <si>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</si>
  <si>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</si>
  <si>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</si>
  <si>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</si>
  <si>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</si>
  <si>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</si>
  <si>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</si>
  <si>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</si>
  <si>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</si>
  <si>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</si>
  <si>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</si>
  <si>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</si>
  <si>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</si>
  <si>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</si>
  <si>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</si>
  <si>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</si>
  <si>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</si>
  <si>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</si>
  <si>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</si>
  <si>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</si>
  <si>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</si>
  <si>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</si>
  <si>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</si>
  <si>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</si>
  <si>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</si>
  <si>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</si>
  <si>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</si>
  <si>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</si>
  <si>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</si>
  <si>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</si>
  <si>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</si>
  <si>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</si>
  <si>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</si>
  <si>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</si>
  <si>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</si>
  <si>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</si>
  <si>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</si>
  <si>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</si>
  <si>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</si>
  <si>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</si>
  <si>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</si>
  <si>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</si>
  <si>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</si>
  <si>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</si>
  <si>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</si>
  <si>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</si>
  <si>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</si>
  <si>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</si>
  <si>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</si>
  <si>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</si>
  <si>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</si>
  <si>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</si>
  <si>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</si>
  <si>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</si>
  <si>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</si>
  <si>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</si>
  <si>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</si>
  <si>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</si>
  <si>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October</t>
  </si>
  <si>
    <t>Non-profit Passthrough Sales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</si>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</sst>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5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1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2" xfId="0" applyFont="1" applyFill="1" applyBorder="1" applyProtection="1">
      <protection locked="0"/>
    </xf>
    <xf numFmtId="43" fontId="12" fillId="3" borderId="52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54" xfId="0" applyFont="1" applyBorder="1" applyProtection="1">
      <protection locked="0"/>
    </xf>
    <xf numFmtId="0" fontId="12" fillId="0" borderId="55" xfId="0" applyFont="1" applyBorder="1" applyProtection="1">
      <protection locked="0"/>
    </xf>
    <xf numFmtId="0" fontId="0" fillId="0" borderId="53" xfId="0" applyBorder="1" applyProtection="1">
      <protection locked="0"/>
    </xf>
    <xf numFmtId="0" fontId="0" fillId="0" borderId="54" xfId="0" applyBorder="1" applyProtection="1">
      <protection locked="0"/>
    </xf>
    <xf numFmtId="0" fontId="0" fillId="0" borderId="55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2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2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6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0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2" xfId="0" applyFont="1" applyFill="1" applyBorder="1" applyAlignment="1" applyProtection="1">
      <alignment horizontal="center" textRotation="90" wrapText="1"/>
    </xf>
    <xf numFmtId="0" fontId="13" fillId="3" borderId="63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2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4" xfId="0" applyFont="1" applyBorder="1" applyProtection="1"/>
    <xf numFmtId="0" fontId="15" fillId="0" borderId="65" xfId="0" applyFont="1" applyBorder="1" applyProtection="1"/>
    <xf numFmtId="0" fontId="15" fillId="0" borderId="66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2" xfId="0" applyFont="1" applyFill="1" applyBorder="1" applyProtection="1"/>
    <xf numFmtId="0" fontId="34" fillId="0" borderId="0" xfId="0" applyFont="1" applyProtection="1">
      <protection locked="0"/>
    </xf>
    <xf numFmtId="0" fontId="34" fillId="0" borderId="67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4" xfId="0" applyFont="1" applyFill="1" applyBorder="1" applyAlignment="1" applyProtection="1">
      <alignment horizontal="center"/>
      <protection locked="0"/>
    </xf>
    <xf numFmtId="0" fontId="12" fillId="3" borderId="68" xfId="0" applyFont="1" applyFill="1" applyBorder="1" applyAlignment="1" applyProtection="1">
      <alignment horizontal="center"/>
      <protection locked="0"/>
    </xf>
    <xf numFmtId="0" fontId="0" fillId="3" borderId="69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0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0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68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0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7" xfId="0" applyFont="1" applyBorder="1" applyAlignment="1" applyProtection="1">
      <alignment horizontal="right"/>
    </xf>
    <xf numFmtId="41" fontId="21" fillId="0" borderId="73" xfId="0" applyNumberFormat="1" applyFont="1" applyBorder="1" applyProtection="1"/>
    <xf numFmtId="41" fontId="0" fillId="0" borderId="74" xfId="0" applyNumberFormat="1" applyBorder="1" applyProtection="1"/>
    <xf numFmtId="41" fontId="0" fillId="0" borderId="75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6" xfId="0" applyNumberFormat="1" applyFont="1" applyFill="1" applyBorder="1" applyProtection="1"/>
    <xf numFmtId="43" fontId="14" fillId="0" borderId="65" xfId="0" applyNumberFormat="1" applyFont="1" applyFill="1" applyBorder="1" applyProtection="1"/>
    <xf numFmtId="43" fontId="14" fillId="0" borderId="76" xfId="0" applyNumberFormat="1" applyFont="1" applyFill="1" applyBorder="1" applyProtection="1"/>
    <xf numFmtId="0" fontId="14" fillId="3" borderId="77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3" xfId="0" applyFont="1" applyFill="1" applyBorder="1" applyProtection="1">
      <protection locked="0"/>
    </xf>
    <xf numFmtId="0" fontId="0" fillId="0" borderId="78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79" xfId="0" applyNumberFormat="1" applyFont="1" applyBorder="1" applyProtection="1"/>
    <xf numFmtId="43" fontId="12" fillId="0" borderId="80" xfId="0" applyNumberFormat="1" applyFont="1" applyBorder="1" applyProtection="1"/>
    <xf numFmtId="0" fontId="12" fillId="0" borderId="81" xfId="0" applyFont="1" applyFill="1" applyBorder="1" applyProtection="1"/>
    <xf numFmtId="0" fontId="0" fillId="0" borderId="82" xfId="0" applyFill="1" applyBorder="1" applyProtection="1"/>
    <xf numFmtId="43" fontId="44" fillId="0" borderId="69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3" xfId="0" applyFont="1" applyFill="1" applyBorder="1" applyProtection="1"/>
    <xf numFmtId="0" fontId="0" fillId="0" borderId="78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0" xfId="0" applyFont="1" applyBorder="1" applyProtection="1"/>
    <xf numFmtId="0" fontId="13" fillId="0" borderId="71" xfId="0" applyFont="1" applyBorder="1" applyProtection="1"/>
    <xf numFmtId="43" fontId="13" fillId="0" borderId="71" xfId="0" applyNumberFormat="1" applyFont="1" applyBorder="1" applyProtection="1"/>
    <xf numFmtId="43" fontId="14" fillId="0" borderId="62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5" xfId="0" applyBorder="1" applyProtection="1"/>
    <xf numFmtId="0" fontId="12" fillId="0" borderId="83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3" xfId="0" applyNumberFormat="1" applyFont="1" applyFill="1" applyBorder="1" applyProtection="1"/>
    <xf numFmtId="0" fontId="12" fillId="0" borderId="60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0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4" xfId="0" applyNumberFormat="1" applyFont="1" applyBorder="1" applyProtection="1">
      <protection locked="0"/>
    </xf>
    <xf numFmtId="43" fontId="12" fillId="0" borderId="70" xfId="0" applyNumberFormat="1" applyFont="1" applyBorder="1" applyProtection="1"/>
    <xf numFmtId="43" fontId="12" fillId="0" borderId="71" xfId="0" applyNumberFormat="1" applyFont="1" applyBorder="1" applyProtection="1"/>
    <xf numFmtId="43" fontId="12" fillId="0" borderId="72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6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43" fontId="12" fillId="7" borderId="19" xfId="0" applyNumberFormat="1" applyFont="1" applyFill="1" applyBorder="1" applyProtection="1"/>
    <xf numFmtId="43" fontId="13" fillId="7" borderId="71" xfId="0" applyNumberFormat="1" applyFont="1" applyFill="1" applyBorder="1" applyProtection="1"/>
    <xf numFmtId="43" fontId="12" fillId="7" borderId="9" xfId="0" applyNumberFormat="1" applyFont="1" applyFill="1" applyBorder="1" applyProtection="1"/>
    <xf numFmtId="2" fontId="12" fillId="7" borderId="46" xfId="0" applyNumberFormat="1" applyFont="1" applyFill="1" applyBorder="1" applyProtection="1"/>
    <xf numFmtId="43" fontId="45" fillId="0" borderId="17" xfId="0" applyNumberFormat="1" applyFont="1" applyBorder="1" applyProtection="1"/>
    <xf numFmtId="2" fontId="33" fillId="7" borderId="46" xfId="0" applyNumberFormat="1" applyFont="1" applyFill="1" applyBorder="1" applyProtection="1"/>
    <xf numFmtId="0" fontId="0" fillId="0" borderId="85" xfId="0" applyBorder="1" applyProtection="1">
      <protection locked="0"/>
    </xf>
    <xf numFmtId="0" fontId="12" fillId="0" borderId="86" xfId="0" applyFont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2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7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0" fontId="2" fillId="3" borderId="61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0" xfId="0" applyFont="1" applyFill="1" applyBorder="1" applyAlignment="1" applyProtection="1">
      <alignment horizontal="center"/>
    </xf>
    <xf numFmtId="0" fontId="2" fillId="2" borderId="71" xfId="0" applyFont="1" applyFill="1" applyBorder="1" applyAlignment="1" applyProtection="1">
      <alignment horizontal="center"/>
    </xf>
    <xf numFmtId="0" fontId="2" fillId="2" borderId="72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7" xfId="0" applyFont="1" applyFill="1" applyBorder="1" applyAlignment="1" applyProtection="1">
      <alignment horizontal="left"/>
    </xf>
    <xf numFmtId="0" fontId="13" fillId="3" borderId="58" xfId="0" applyFont="1" applyFill="1" applyBorder="1" applyAlignment="1" applyProtection="1">
      <alignment horizontal="left"/>
    </xf>
    <xf numFmtId="0" fontId="45" fillId="7" borderId="46" xfId="0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56" xfId="0" applyFont="1" applyFill="1" applyBorder="1" applyProtection="1"/>
    <xf numFmtId="2" fontId="45" fillId="7" borderId="46" xfId="0" applyNumberFormat="1" applyFont="1" applyFill="1" applyBorder="1" applyProtection="1"/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7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1" t="s">
        <v>234</v>
      </c>
      <c r="D1" s="382">
        <v>2023</v>
      </c>
      <c r="G1" s="215"/>
    </row>
    <row r="3" spans="1:22" x14ac:dyDescent="0.2">
      <c r="A3" s="5"/>
    </row>
    <row r="4" spans="1:22" s="1" customFormat="1" x14ac:dyDescent="0.2">
      <c r="B4" s="228"/>
      <c r="C4" s="495" t="s">
        <v>1</v>
      </c>
      <c r="D4" s="496"/>
      <c r="E4" s="496"/>
      <c r="F4" s="496"/>
      <c r="G4" s="496"/>
      <c r="H4" s="496"/>
      <c r="I4" s="496"/>
      <c r="J4" s="496"/>
      <c r="K4" s="496"/>
      <c r="L4" s="496"/>
      <c r="M4" s="497"/>
      <c r="N4" s="6"/>
      <c r="O4" s="498" t="s">
        <v>2</v>
      </c>
      <c r="P4" s="499"/>
      <c r="Q4" s="499"/>
      <c r="R4" s="500"/>
      <c r="S4" s="7"/>
      <c r="T4" s="8" t="s">
        <v>3</v>
      </c>
    </row>
    <row r="5" spans="1:22" x14ac:dyDescent="0.2">
      <c r="B5" s="229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2" t="s">
        <v>7</v>
      </c>
      <c r="J5" s="152" t="s">
        <v>8</v>
      </c>
      <c r="K5" s="152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28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3" t="s">
        <v>12</v>
      </c>
      <c r="J6" s="153" t="s">
        <v>12</v>
      </c>
      <c r="K6" s="153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0"/>
      <c r="C7" s="19"/>
      <c r="D7" s="20"/>
      <c r="E7" s="21"/>
      <c r="F7" s="21"/>
      <c r="G7" s="20"/>
      <c r="H7" s="20"/>
      <c r="I7" s="149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3">
        <v>45200</v>
      </c>
      <c r="B8" s="230" t="str">
        <f>TEXT(A8, "DDD")</f>
        <v>Sun</v>
      </c>
      <c r="C8" s="150">
        <f t="array" ref="C8:C38">TRANSPOSE(Pool!C33:AG33)</f>
        <v>0</v>
      </c>
      <c r="D8" s="58">
        <f>'Box Canon'!C18+'Box Canon'!C19</f>
        <v>1193</v>
      </c>
      <c r="E8" s="21"/>
      <c r="F8" s="21"/>
      <c r="G8" s="149">
        <f t="array" ref="G8:G38">TRANSPOSE(Pool!C34:AG34)</f>
        <v>53.75</v>
      </c>
      <c r="H8" s="149">
        <f t="array" ref="H8:H38">TRANSPOSE(Pool!C35:AG35)</f>
        <v>0</v>
      </c>
      <c r="I8" s="149">
        <f>'Box Canon'!C20+'Box Canon'!C21</f>
        <v>2014.56</v>
      </c>
      <c r="J8" s="147"/>
      <c r="K8" s="147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4">
        <f>SUM(A8+1)</f>
        <v>45201</v>
      </c>
      <c r="B9" s="230" t="str">
        <f t="shared" ref="B9:B38" si="0">TEXT(A9, "DDD")</f>
        <v>Mon</v>
      </c>
      <c r="C9" s="150">
        <v>25</v>
      </c>
      <c r="D9" s="58">
        <f>'Box Canon'!D18+'Box Canon'!D19</f>
        <v>957.66</v>
      </c>
      <c r="E9" s="21"/>
      <c r="F9" s="21"/>
      <c r="G9" s="149">
        <v>0</v>
      </c>
      <c r="H9" s="149">
        <v>0</v>
      </c>
      <c r="I9" s="149">
        <f>'Box Canon'!D20+'Box Canon'!D21</f>
        <v>1322.9</v>
      </c>
      <c r="J9" s="147"/>
      <c r="K9" s="147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4">
        <f t="shared" ref="A10:A38" si="1">SUM(A9+1)</f>
        <v>45202</v>
      </c>
      <c r="B10" s="230" t="str">
        <f t="shared" si="0"/>
        <v>Tue</v>
      </c>
      <c r="C10" s="150">
        <v>1301.55</v>
      </c>
      <c r="D10" s="58">
        <f>'Box Canon'!E18+'Box Canon'!E19</f>
        <v>1258.9100000000001</v>
      </c>
      <c r="E10" s="21"/>
      <c r="F10" s="21"/>
      <c r="G10" s="149">
        <v>4671.3</v>
      </c>
      <c r="H10" s="149">
        <v>0</v>
      </c>
      <c r="I10" s="149">
        <f>'Box Canon'!E20+'Box Canon'!E21</f>
        <v>1443.62</v>
      </c>
      <c r="J10" s="147"/>
      <c r="K10" s="147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4">
        <f t="shared" si="1"/>
        <v>45203</v>
      </c>
      <c r="B11" s="230" t="str">
        <f t="shared" si="0"/>
        <v>Wed</v>
      </c>
      <c r="C11" s="150">
        <v>905.75</v>
      </c>
      <c r="D11" s="58">
        <f>'Box Canon'!F18+'Box Canon'!F19</f>
        <v>893.19</v>
      </c>
      <c r="E11" s="21"/>
      <c r="F11" s="21"/>
      <c r="G11" s="149">
        <v>5484.9</v>
      </c>
      <c r="H11" s="151">
        <v>0</v>
      </c>
      <c r="I11" s="149">
        <f>'Box Canon'!F20+'Box Canon'!F21</f>
        <v>1443.6100000000001</v>
      </c>
      <c r="J11" s="147"/>
      <c r="K11" s="147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4">
        <f t="shared" si="1"/>
        <v>45204</v>
      </c>
      <c r="B12" s="230" t="str">
        <f t="shared" si="0"/>
        <v>Thu</v>
      </c>
      <c r="C12" s="150">
        <v>805.5</v>
      </c>
      <c r="D12" s="58">
        <f>'Box Canon'!G18+'Box Canon'!G19</f>
        <v>1192.6400000000001</v>
      </c>
      <c r="E12" s="21"/>
      <c r="F12" s="21"/>
      <c r="G12" s="149">
        <v>5473.7</v>
      </c>
      <c r="H12" s="151">
        <v>0</v>
      </c>
      <c r="I12" s="149">
        <f>'Box Canon'!G20+'Box Canon'!G21</f>
        <v>1497.52</v>
      </c>
      <c r="J12" s="147"/>
      <c r="K12" s="147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4">
        <f t="shared" si="1"/>
        <v>45205</v>
      </c>
      <c r="B13" s="230" t="str">
        <f t="shared" si="0"/>
        <v>Fri</v>
      </c>
      <c r="C13" s="150">
        <v>1615.75</v>
      </c>
      <c r="D13" s="58">
        <f>'Box Canon'!H18+'Box Canon'!H19</f>
        <v>874.1400000000001</v>
      </c>
      <c r="E13" s="21"/>
      <c r="F13" s="21"/>
      <c r="G13" s="149">
        <v>7622.55</v>
      </c>
      <c r="H13" s="151">
        <v>0</v>
      </c>
      <c r="I13" s="149">
        <f>'Box Canon'!H20+'Box Canon'!H21</f>
        <v>2010.62</v>
      </c>
      <c r="J13" s="147"/>
      <c r="K13" s="147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4">
        <f t="shared" si="1"/>
        <v>45206</v>
      </c>
      <c r="B14" s="230" t="str">
        <f t="shared" si="0"/>
        <v>Sat</v>
      </c>
      <c r="C14" s="150">
        <v>1689.2</v>
      </c>
      <c r="D14" s="58">
        <f>'Box Canon'!I18+'Box Canon'!I19</f>
        <v>1383.47</v>
      </c>
      <c r="E14" s="21"/>
      <c r="F14" s="21"/>
      <c r="G14" s="149">
        <v>13010.85</v>
      </c>
      <c r="H14" s="151">
        <v>0</v>
      </c>
      <c r="I14" s="149">
        <f>'Box Canon'!I20+'Box Canon'!I21</f>
        <v>3514.65</v>
      </c>
      <c r="J14" s="147"/>
      <c r="K14" s="147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4">
        <f t="shared" si="1"/>
        <v>45207</v>
      </c>
      <c r="B15" s="230" t="str">
        <f t="shared" si="0"/>
        <v>Sun</v>
      </c>
      <c r="C15" s="150">
        <v>2216.25</v>
      </c>
      <c r="D15" s="58">
        <f>'Box Canon'!J18+'Box Canon'!J19</f>
        <v>1203.6300000000001</v>
      </c>
      <c r="E15" s="21"/>
      <c r="F15" s="21"/>
      <c r="G15" s="149">
        <v>12592.46</v>
      </c>
      <c r="H15" s="151">
        <v>0</v>
      </c>
      <c r="I15" s="149">
        <f>'Box Canon'!J20+'Box Canon'!J21</f>
        <v>3023.0299999999997</v>
      </c>
      <c r="J15" s="147"/>
      <c r="K15" s="147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4">
        <f t="shared" si="1"/>
        <v>45208</v>
      </c>
      <c r="B16" s="230" t="str">
        <f t="shared" si="0"/>
        <v>Mon</v>
      </c>
      <c r="C16" s="150">
        <v>1627.7</v>
      </c>
      <c r="D16" s="58">
        <f>'Box Canon'!K18+'Box Canon'!K19</f>
        <v>960.64</v>
      </c>
      <c r="E16" s="21"/>
      <c r="F16" s="21"/>
      <c r="G16" s="149">
        <v>7381.6</v>
      </c>
      <c r="H16" s="151">
        <v>0</v>
      </c>
      <c r="I16" s="149">
        <f>'Box Canon'!K20+'Box Canon'!K21</f>
        <v>2255.39</v>
      </c>
      <c r="J16" s="147"/>
      <c r="K16" s="147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4">
        <f t="shared" si="1"/>
        <v>45209</v>
      </c>
      <c r="B17" s="230" t="str">
        <f t="shared" si="0"/>
        <v>Tue</v>
      </c>
      <c r="C17" s="150">
        <v>1631.95</v>
      </c>
      <c r="D17" s="58">
        <f>'Box Canon'!L18+'Box Canon'!L19</f>
        <v>707.69</v>
      </c>
      <c r="E17" s="21"/>
      <c r="F17" s="21"/>
      <c r="G17" s="149">
        <v>5411.3</v>
      </c>
      <c r="H17" s="151">
        <v>0</v>
      </c>
      <c r="I17" s="149">
        <f>'Box Canon'!L20+'Box Canon'!L21</f>
        <v>2055.92</v>
      </c>
      <c r="J17" s="147"/>
      <c r="K17" s="147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4">
        <f t="shared" si="1"/>
        <v>45210</v>
      </c>
      <c r="B18" s="230" t="str">
        <f t="shared" si="0"/>
        <v>Wed</v>
      </c>
      <c r="C18" s="150">
        <v>1245.25</v>
      </c>
      <c r="D18" s="58">
        <f>'Box Canon'!M18+'Box Canon'!M19</f>
        <v>725.02</v>
      </c>
      <c r="E18" s="21"/>
      <c r="F18" s="21"/>
      <c r="G18" s="149">
        <v>5842.95</v>
      </c>
      <c r="H18" s="151">
        <v>0</v>
      </c>
      <c r="I18" s="149">
        <f>'Box Canon'!M20+'Box Canon'!M21</f>
        <v>1560.67</v>
      </c>
      <c r="J18" s="147"/>
      <c r="K18" s="148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4">
        <f t="shared" si="1"/>
        <v>45211</v>
      </c>
      <c r="B19" s="230" t="str">
        <f t="shared" si="0"/>
        <v>Thu</v>
      </c>
      <c r="C19" s="150">
        <v>684.9</v>
      </c>
      <c r="D19" s="58">
        <f>'Box Canon'!N18+'Box Canon'!N19</f>
        <v>678.31</v>
      </c>
      <c r="E19" s="21"/>
      <c r="F19" s="21"/>
      <c r="G19" s="149">
        <v>6688.65</v>
      </c>
      <c r="H19" s="151">
        <v>0</v>
      </c>
      <c r="I19" s="149">
        <f>'Box Canon'!N20+'Box Canon'!N21</f>
        <v>1014.74</v>
      </c>
      <c r="J19" s="147"/>
      <c r="K19" s="147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4">
        <f t="shared" si="1"/>
        <v>45212</v>
      </c>
      <c r="B20" s="230" t="str">
        <f t="shared" si="0"/>
        <v>Fri</v>
      </c>
      <c r="C20" s="150">
        <v>1220.4000000000001</v>
      </c>
      <c r="D20" s="58">
        <f>'Box Canon'!O18+'Box Canon'!O19</f>
        <v>1006.28</v>
      </c>
      <c r="E20" s="21"/>
      <c r="F20" s="21"/>
      <c r="G20" s="149">
        <v>9003.25</v>
      </c>
      <c r="H20" s="151">
        <v>0</v>
      </c>
      <c r="I20" s="149">
        <f>'Box Canon'!O20+'Box Canon'!O21</f>
        <v>2074.41</v>
      </c>
      <c r="J20" s="147"/>
      <c r="K20" s="147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4">
        <f t="shared" si="1"/>
        <v>45213</v>
      </c>
      <c r="B21" s="230" t="str">
        <f t="shared" si="0"/>
        <v>Sat</v>
      </c>
      <c r="C21" s="150">
        <v>1887.75</v>
      </c>
      <c r="D21" s="58">
        <f>'Box Canon'!P18+'Box Canon'!P19</f>
        <v>880</v>
      </c>
      <c r="E21" s="41"/>
      <c r="F21" s="21"/>
      <c r="G21" s="149">
        <v>13207.67</v>
      </c>
      <c r="H21" s="151">
        <v>0</v>
      </c>
      <c r="I21" s="149">
        <f>'Box Canon'!P20+'Box Canon'!P21</f>
        <v>2888.89</v>
      </c>
      <c r="J21" s="147"/>
      <c r="K21" s="147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4">
        <f t="shared" si="1"/>
        <v>45214</v>
      </c>
      <c r="B22" s="230" t="str">
        <f t="shared" si="0"/>
        <v>Sun</v>
      </c>
      <c r="C22" s="150">
        <v>1687</v>
      </c>
      <c r="D22" s="58">
        <f>'Box Canon'!Q18+'Box Canon'!Q19</f>
        <v>812.17</v>
      </c>
      <c r="E22" s="21"/>
      <c r="F22" s="21"/>
      <c r="G22" s="149">
        <v>7561.45</v>
      </c>
      <c r="H22" s="151">
        <v>0</v>
      </c>
      <c r="I22" s="149">
        <f>'Box Canon'!Q20+'Box Canon'!Q21</f>
        <v>2176.2399999999998</v>
      </c>
      <c r="J22" s="147"/>
      <c r="K22" s="147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4">
        <f t="shared" si="1"/>
        <v>45215</v>
      </c>
      <c r="B23" s="230" t="str">
        <f t="shared" si="0"/>
        <v>Mon</v>
      </c>
      <c r="C23" s="150">
        <v>800.65</v>
      </c>
      <c r="D23" s="58">
        <f>'Box Canon'!R18+'Box Canon'!R19</f>
        <v>627.79999999999995</v>
      </c>
      <c r="E23" s="21"/>
      <c r="F23" s="21"/>
      <c r="G23" s="149">
        <v>6347.85</v>
      </c>
      <c r="H23" s="151">
        <v>0</v>
      </c>
      <c r="I23" s="149">
        <f>'Box Canon'!R20+'Box Canon'!R21</f>
        <v>1304.47</v>
      </c>
      <c r="J23" s="147"/>
      <c r="K23" s="147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4">
        <f t="shared" si="1"/>
        <v>45216</v>
      </c>
      <c r="B24" s="230" t="str">
        <f t="shared" si="0"/>
        <v>Tue</v>
      </c>
      <c r="C24" s="150">
        <v>818.4</v>
      </c>
      <c r="D24" s="58">
        <f>'Box Canon'!S18+'Box Canon'!S19</f>
        <v>301.12</v>
      </c>
      <c r="E24" s="21"/>
      <c r="F24" s="21"/>
      <c r="G24" s="149">
        <v>5044.55</v>
      </c>
      <c r="H24" s="151">
        <v>0</v>
      </c>
      <c r="I24" s="149">
        <f>'Box Canon'!S20+'Box Canon'!S21</f>
        <v>1240.21</v>
      </c>
      <c r="J24" s="147"/>
      <c r="K24" s="147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4">
        <f t="shared" si="1"/>
        <v>45217</v>
      </c>
      <c r="B25" s="230" t="str">
        <f t="shared" si="0"/>
        <v>Wed</v>
      </c>
      <c r="C25" s="150">
        <v>776.3</v>
      </c>
      <c r="D25" s="58">
        <f>'Box Canon'!T18+'Box Canon'!T19</f>
        <v>641.34</v>
      </c>
      <c r="E25" s="21"/>
      <c r="F25" s="21"/>
      <c r="G25" s="149">
        <v>4090.2</v>
      </c>
      <c r="H25" s="151">
        <v>0</v>
      </c>
      <c r="I25" s="149">
        <f>'Box Canon'!T20+'Box Canon'!T21</f>
        <v>1235.69</v>
      </c>
      <c r="J25" s="147"/>
      <c r="K25" s="147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4">
        <f t="shared" si="1"/>
        <v>45218</v>
      </c>
      <c r="B26" s="230" t="str">
        <f t="shared" si="0"/>
        <v>Thu</v>
      </c>
      <c r="C26" s="150">
        <v>923.25</v>
      </c>
      <c r="D26" s="58">
        <f>'Box Canon'!U18+'Box Canon'!U19</f>
        <v>732.28</v>
      </c>
      <c r="E26" s="21"/>
      <c r="F26" s="21"/>
      <c r="G26" s="149">
        <v>6119.8</v>
      </c>
      <c r="H26" s="151">
        <v>0</v>
      </c>
      <c r="I26" s="149">
        <f>'Box Canon'!U20+'Box Canon'!U21</f>
        <v>1326.21</v>
      </c>
      <c r="J26" s="147"/>
      <c r="K26" s="147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4">
        <f t="shared" si="1"/>
        <v>45219</v>
      </c>
      <c r="B27" s="230" t="str">
        <f t="shared" si="0"/>
        <v>Fri</v>
      </c>
      <c r="C27" s="150">
        <v>777.5</v>
      </c>
      <c r="D27" s="58">
        <f>'Box Canon'!V18+'Box Canon'!V19</f>
        <v>553.9</v>
      </c>
      <c r="E27" s="21"/>
      <c r="F27" s="21"/>
      <c r="G27" s="149">
        <v>8495.4</v>
      </c>
      <c r="H27" s="151">
        <v>0</v>
      </c>
      <c r="I27" s="149">
        <f>'Box Canon'!V20+'Box Canon'!V21</f>
        <v>1578.5</v>
      </c>
      <c r="J27" s="147"/>
      <c r="K27" s="147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4">
        <f t="shared" si="1"/>
        <v>45220</v>
      </c>
      <c r="B28" s="230" t="str">
        <f t="shared" si="0"/>
        <v>Sat</v>
      </c>
      <c r="C28" s="150">
        <v>2260.8000000000002</v>
      </c>
      <c r="D28" s="58">
        <f>'Box Canon'!W18+'Box Canon'!W19</f>
        <v>1356.86</v>
      </c>
      <c r="E28" s="21"/>
      <c r="F28" s="21"/>
      <c r="G28" s="149">
        <v>11637.75</v>
      </c>
      <c r="H28" s="151">
        <v>0</v>
      </c>
      <c r="I28" s="149">
        <f>'Box Canon'!W20+'Box Canon'!W21</f>
        <v>2371.2800000000002</v>
      </c>
      <c r="J28" s="147"/>
      <c r="K28" s="147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4">
        <f t="shared" si="1"/>
        <v>45221</v>
      </c>
      <c r="B29" s="230" t="str">
        <f t="shared" si="0"/>
        <v>Sun</v>
      </c>
      <c r="C29" s="150">
        <v>1005.6</v>
      </c>
      <c r="D29" s="58">
        <f>'Box Canon'!X18+'Box Canon'!X19</f>
        <v>792.19</v>
      </c>
      <c r="E29" s="21"/>
      <c r="F29" s="21"/>
      <c r="G29" s="149">
        <v>6784.6</v>
      </c>
      <c r="H29" s="151">
        <v>0</v>
      </c>
      <c r="I29" s="149">
        <f>'Box Canon'!X20+'Box Canon'!X21</f>
        <v>1543.73</v>
      </c>
      <c r="J29" s="147"/>
      <c r="K29" s="147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4">
        <f t="shared" si="1"/>
        <v>45222</v>
      </c>
      <c r="B30" s="230" t="str">
        <f t="shared" si="0"/>
        <v>Mon</v>
      </c>
      <c r="C30" s="150">
        <v>371.3</v>
      </c>
      <c r="D30" s="58">
        <f>'Box Canon'!Y18+'Box Canon'!Y19</f>
        <v>243</v>
      </c>
      <c r="E30" s="21"/>
      <c r="F30" s="21"/>
      <c r="G30" s="149">
        <v>2480.85</v>
      </c>
      <c r="H30" s="151">
        <v>0</v>
      </c>
      <c r="I30" s="149">
        <f>'Box Canon'!Y20+'Box Canon'!Y21</f>
        <v>624.22</v>
      </c>
      <c r="J30" s="147"/>
      <c r="K30" s="147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4">
        <f t="shared" si="1"/>
        <v>45223</v>
      </c>
      <c r="B31" s="230" t="str">
        <f t="shared" si="0"/>
        <v>Tue</v>
      </c>
      <c r="C31" s="150">
        <v>303.5</v>
      </c>
      <c r="D31" s="58">
        <f>'Box Canon'!Z18+'Box Canon'!Z19</f>
        <v>321.41000000000003</v>
      </c>
      <c r="E31" s="21"/>
      <c r="F31" s="21"/>
      <c r="G31" s="149">
        <v>3188.85</v>
      </c>
      <c r="H31" s="151">
        <v>0</v>
      </c>
      <c r="I31" s="149">
        <f>'Box Canon'!Z20+'Box Canon'!Z21</f>
        <v>483.54</v>
      </c>
      <c r="J31" s="147"/>
      <c r="K31" s="147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4">
        <f t="shared" si="1"/>
        <v>45224</v>
      </c>
      <c r="B32" s="230" t="str">
        <f t="shared" si="0"/>
        <v>Wed</v>
      </c>
      <c r="C32" s="150">
        <v>537.79</v>
      </c>
      <c r="D32" s="58">
        <f>'Box Canon'!AA18+'Box Canon'!AA19</f>
        <v>262.04000000000002</v>
      </c>
      <c r="E32" s="21"/>
      <c r="F32" s="21"/>
      <c r="G32" s="149">
        <v>2332.0500000000002</v>
      </c>
      <c r="H32" s="151">
        <v>0</v>
      </c>
      <c r="I32" s="149">
        <f>'Box Canon'!AA20+'Box Canon'!AA21</f>
        <v>452.62</v>
      </c>
      <c r="J32" s="147"/>
      <c r="K32" s="147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4">
        <f t="shared" si="1"/>
        <v>45225</v>
      </c>
      <c r="B33" s="230" t="str">
        <f t="shared" si="0"/>
        <v>Thu</v>
      </c>
      <c r="C33" s="150">
        <v>784.75</v>
      </c>
      <c r="D33" s="58">
        <f>'Box Canon'!AB18+'Box Canon'!AB19</f>
        <v>503.05</v>
      </c>
      <c r="E33" s="21"/>
      <c r="F33" s="21"/>
      <c r="G33" s="149">
        <v>417.25</v>
      </c>
      <c r="H33" s="151">
        <v>1605</v>
      </c>
      <c r="I33" s="149">
        <f>'Box Canon'!AB20+'Box Canon'!AB21</f>
        <v>294.02999999999997</v>
      </c>
      <c r="J33" s="147"/>
      <c r="K33" s="147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4">
        <f t="shared" si="1"/>
        <v>45226</v>
      </c>
      <c r="B34" s="230" t="str">
        <f t="shared" si="0"/>
        <v>Fri</v>
      </c>
      <c r="C34" s="150">
        <v>485.35</v>
      </c>
      <c r="D34" s="58">
        <f>'Box Canon'!AC18+'Box Canon'!AC19</f>
        <v>219.94</v>
      </c>
      <c r="E34" s="21"/>
      <c r="F34" s="21"/>
      <c r="G34" s="149">
        <v>4255</v>
      </c>
      <c r="H34" s="151">
        <v>0</v>
      </c>
      <c r="I34" s="149">
        <f>'Box Canon'!AC20+'Box Canon'!AC21</f>
        <v>959.28</v>
      </c>
      <c r="J34" s="147"/>
      <c r="K34" s="147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4">
        <f t="shared" si="1"/>
        <v>45227</v>
      </c>
      <c r="B35" s="230" t="str">
        <f t="shared" si="0"/>
        <v>Sat</v>
      </c>
      <c r="C35" s="150">
        <v>1004.45</v>
      </c>
      <c r="D35" s="58">
        <f>'Box Canon'!AD18+'Box Canon'!AD19</f>
        <v>341.59</v>
      </c>
      <c r="E35" s="21"/>
      <c r="F35" s="21"/>
      <c r="G35" s="149">
        <v>5164.04</v>
      </c>
      <c r="H35" s="151">
        <v>0</v>
      </c>
      <c r="I35" s="149">
        <f>'Box Canon'!AD20+'Box Canon'!AD21</f>
        <v>936.64</v>
      </c>
      <c r="J35" s="147"/>
      <c r="K35" s="147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4">
        <f t="shared" si="1"/>
        <v>45228</v>
      </c>
      <c r="B36" s="230" t="str">
        <f t="shared" si="0"/>
        <v>Sun</v>
      </c>
      <c r="C36" s="150">
        <v>402.55</v>
      </c>
      <c r="D36" s="58">
        <f>'Box Canon'!AE18+'Box Canon'!AE19</f>
        <v>0</v>
      </c>
      <c r="E36" s="42"/>
      <c r="F36" s="21"/>
      <c r="G36" s="149">
        <v>4255.12</v>
      </c>
      <c r="H36" s="151">
        <v>0</v>
      </c>
      <c r="I36" s="149">
        <f>'Box Canon'!AE20+'Box Canon'!AE21</f>
        <v>110</v>
      </c>
      <c r="J36" s="147"/>
      <c r="K36" s="147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4">
        <f t="shared" si="1"/>
        <v>45229</v>
      </c>
      <c r="B37" s="230" t="str">
        <f t="shared" si="0"/>
        <v>Mon</v>
      </c>
      <c r="C37" s="150">
        <v>357.2</v>
      </c>
      <c r="D37" s="58">
        <f>'Box Canon'!AF18+'Box Canon'!AF19</f>
        <v>21</v>
      </c>
      <c r="E37" s="21"/>
      <c r="F37" s="21"/>
      <c r="G37" s="149">
        <v>2568.0500000000002</v>
      </c>
      <c r="H37" s="151">
        <v>0</v>
      </c>
      <c r="I37" s="149">
        <f>'Box Canon'!AF20+'Box Canon'!AF21</f>
        <v>0</v>
      </c>
      <c r="J37" s="147"/>
      <c r="K37" s="147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4">
        <f t="shared" si="1"/>
        <v>45230</v>
      </c>
      <c r="B38" s="230" t="str">
        <f t="shared" si="0"/>
        <v>Tue</v>
      </c>
      <c r="C38" s="150">
        <v>216.5</v>
      </c>
      <c r="D38" s="58">
        <f>'Box Canon'!AG18+'Box Canon'!AG19</f>
        <v>0</v>
      </c>
      <c r="E38" s="21"/>
      <c r="F38" s="21"/>
      <c r="G38" s="149">
        <v>2158.25</v>
      </c>
      <c r="H38" s="151">
        <v>0</v>
      </c>
      <c r="I38" s="149">
        <f>'Box Canon'!AG20+'Box Canon'!AG21</f>
        <v>0</v>
      </c>
      <c r="J38" s="147"/>
      <c r="K38" s="147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1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2"/>
      <c r="C40" s="169">
        <f>SUM(C8:C39)</f>
        <v>30369.84</v>
      </c>
      <c r="D40" s="169">
        <f t="shared" ref="D40:M40" si="2">SUM(D8:D39)</f>
        <v>21644.27</v>
      </c>
      <c r="E40" s="170">
        <f t="shared" si="2"/>
        <v>0</v>
      </c>
      <c r="F40" s="170">
        <f t="shared" si="2"/>
        <v>0</v>
      </c>
      <c r="G40" s="169">
        <f>SUM(G8:G38)</f>
        <v>179345.99</v>
      </c>
      <c r="H40" s="169">
        <f>SUM(H8:H38)</f>
        <v>1605</v>
      </c>
      <c r="I40" s="169">
        <f>SUM(I8:I38)</f>
        <v>44757.19</v>
      </c>
      <c r="J40" s="169">
        <f t="shared" si="2"/>
        <v>0</v>
      </c>
      <c r="K40" s="169">
        <f t="shared" si="2"/>
        <v>0</v>
      </c>
      <c r="L40" s="170">
        <f t="shared" si="2"/>
        <v>0</v>
      </c>
      <c r="M40" s="170">
        <f t="shared" si="2"/>
        <v>0</v>
      </c>
      <c r="N40" s="171"/>
      <c r="O40" s="172">
        <f>SUM(O8:O39)</f>
        <v>0</v>
      </c>
      <c r="P40" s="172">
        <f>SUM(P8:P39)</f>
        <v>0</v>
      </c>
      <c r="Q40" s="172">
        <f>SUM(Q8:Q39)</f>
        <v>0</v>
      </c>
      <c r="R40" s="172">
        <f>SUM(R8:R39)</f>
        <v>0</v>
      </c>
      <c r="S40" s="173"/>
      <c r="T40" s="174">
        <f>SUM(C40:R40)-M40-P40+T7</f>
        <v>277722.28999999998</v>
      </c>
      <c r="U40" s="18"/>
      <c r="V40" s="18"/>
    </row>
    <row r="41" spans="1:22" ht="13.5" thickTop="1" x14ac:dyDescent="0.2">
      <c r="B41" s="232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2"/>
      <c r="M42" s="175">
        <f>C40+D40+J40+K40+M40</f>
        <v>52014.11</v>
      </c>
      <c r="N42" s="171"/>
      <c r="O42" s="176">
        <f>+O40-P40</f>
        <v>0</v>
      </c>
      <c r="P42" s="175"/>
      <c r="Q42" s="176">
        <f>+P40+Q40</f>
        <v>0</v>
      </c>
      <c r="R42" s="175">
        <f>O40+Q40+R40</f>
        <v>0</v>
      </c>
      <c r="S42" s="23"/>
      <c r="T42" s="18"/>
      <c r="U42" s="18"/>
      <c r="V42" s="18"/>
    </row>
    <row r="43" spans="1:22" x14ac:dyDescent="0.2">
      <c r="A43" s="49"/>
      <c r="B43" s="232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2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2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2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2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2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2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2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2"/>
      <c r="C51" s="55"/>
      <c r="N51" s="23"/>
      <c r="O51" s="18"/>
      <c r="P51" s="18"/>
      <c r="Q51" s="18"/>
      <c r="U51" s="18"/>
      <c r="V51" s="18"/>
    </row>
    <row r="52" spans="1:22" x14ac:dyDescent="0.2">
      <c r="B52" s="232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2"/>
      <c r="C53" s="55"/>
      <c r="N53" s="23"/>
      <c r="O53" s="18"/>
      <c r="P53" s="18"/>
      <c r="Q53" s="18"/>
      <c r="U53" s="18"/>
      <c r="V53" s="18"/>
    </row>
    <row r="54" spans="1:22" x14ac:dyDescent="0.2">
      <c r="B54" s="232"/>
      <c r="C54" s="55"/>
      <c r="N54" s="23"/>
      <c r="O54" s="18"/>
      <c r="P54" s="18"/>
      <c r="Q54" s="18"/>
      <c r="U54" s="18"/>
      <c r="V54" s="18"/>
    </row>
    <row r="55" spans="1:22" x14ac:dyDescent="0.2">
      <c r="B55" s="232"/>
      <c r="N55" s="23"/>
      <c r="O55" s="18"/>
      <c r="P55" s="18"/>
      <c r="Q55" s="18"/>
      <c r="U55" s="18"/>
      <c r="V55" s="18"/>
    </row>
    <row r="56" spans="1:22" x14ac:dyDescent="0.2">
      <c r="B56" s="232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2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2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2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2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2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2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2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2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2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2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2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2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2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2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2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2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2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2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2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2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2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2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2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2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2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2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2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2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2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2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2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2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2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2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2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2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2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2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2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2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2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2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2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2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2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O58" sqref="AO57:AO58"/>
    </sheetView>
  </sheetViews>
  <sheetFormatPr defaultColWidth="9.140625"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68" t="s">
        <v>119</v>
      </c>
      <c r="B1" s="376" t="str">
        <f>'Cash Flow'!C1</f>
        <v>October</v>
      </c>
      <c r="C1" s="226" t="str">
        <f t="array" ref="C1:AG1">TRANSPOSE('Cash Flow'!B8:B38)</f>
        <v>Sun</v>
      </c>
      <c r="D1" s="226" t="str">
        <v>Mon</v>
      </c>
      <c r="E1" s="226" t="str">
        <v>Tue</v>
      </c>
      <c r="F1" s="226" t="str">
        <v>Wed</v>
      </c>
      <c r="G1" s="226" t="str">
        <v>Thu</v>
      </c>
      <c r="H1" s="226" t="str">
        <v>Fri</v>
      </c>
      <c r="I1" s="226" t="str">
        <v>Sat</v>
      </c>
      <c r="J1" s="226" t="str">
        <v>Sun</v>
      </c>
      <c r="K1" s="226" t="str">
        <v>Mon</v>
      </c>
      <c r="L1" s="226" t="str">
        <v>Tue</v>
      </c>
      <c r="M1" s="226" t="str">
        <v>Wed</v>
      </c>
      <c r="N1" s="226" t="str">
        <v>Thu</v>
      </c>
      <c r="O1" s="226" t="str">
        <v>Fri</v>
      </c>
      <c r="P1" s="226" t="str">
        <v>Sat</v>
      </c>
      <c r="Q1" s="226" t="str">
        <v>Sun</v>
      </c>
      <c r="R1" s="226" t="str">
        <v>Mon</v>
      </c>
      <c r="S1" s="226" t="str">
        <v>Tue</v>
      </c>
      <c r="T1" s="226" t="str">
        <v>Wed</v>
      </c>
      <c r="U1" s="226" t="str">
        <v>Thu</v>
      </c>
      <c r="V1" s="226" t="str">
        <v>Fri</v>
      </c>
      <c r="W1" s="226" t="str">
        <v>Sat</v>
      </c>
      <c r="X1" s="226" t="str">
        <v>Sun</v>
      </c>
      <c r="Y1" s="226" t="str">
        <v>Mon</v>
      </c>
      <c r="Z1" s="226" t="str">
        <v>Tue</v>
      </c>
      <c r="AA1" s="226" t="str">
        <v>Wed</v>
      </c>
      <c r="AB1" s="226" t="str">
        <v>Thu</v>
      </c>
      <c r="AC1" s="226" t="str">
        <v>Fri</v>
      </c>
      <c r="AD1" s="226" t="str">
        <v>Sat</v>
      </c>
      <c r="AE1" s="226" t="str">
        <v>Sun</v>
      </c>
      <c r="AF1" s="226" t="str">
        <v>Mon</v>
      </c>
      <c r="AG1" s="226" t="str">
        <v>Tue</v>
      </c>
    </row>
    <row r="2" spans="1:39" s="60" customFormat="1" ht="16.5" thickBot="1" x14ac:dyDescent="0.3">
      <c r="A2" s="63" t="s">
        <v>66</v>
      </c>
      <c r="B2" s="64" t="s">
        <v>128</v>
      </c>
      <c r="C2" s="104">
        <f>'Cash Flow'!A8</f>
        <v>45200</v>
      </c>
      <c r="D2" s="104">
        <f>C2+1</f>
        <v>45201</v>
      </c>
      <c r="E2" s="104">
        <f>D2+1</f>
        <v>45202</v>
      </c>
      <c r="F2" s="104">
        <f t="shared" ref="F2:AG2" si="0">E2+1</f>
        <v>45203</v>
      </c>
      <c r="G2" s="104">
        <f t="shared" si="0"/>
        <v>45204</v>
      </c>
      <c r="H2" s="104">
        <f t="shared" si="0"/>
        <v>45205</v>
      </c>
      <c r="I2" s="104">
        <f t="shared" si="0"/>
        <v>45206</v>
      </c>
      <c r="J2" s="104">
        <f t="shared" si="0"/>
        <v>45207</v>
      </c>
      <c r="K2" s="104">
        <f t="shared" si="0"/>
        <v>45208</v>
      </c>
      <c r="L2" s="104">
        <f t="shared" si="0"/>
        <v>45209</v>
      </c>
      <c r="M2" s="104">
        <f t="shared" si="0"/>
        <v>45210</v>
      </c>
      <c r="N2" s="104">
        <f t="shared" si="0"/>
        <v>45211</v>
      </c>
      <c r="O2" s="104">
        <f t="shared" si="0"/>
        <v>45212</v>
      </c>
      <c r="P2" s="104">
        <f t="shared" si="0"/>
        <v>45213</v>
      </c>
      <c r="Q2" s="104">
        <f t="shared" si="0"/>
        <v>45214</v>
      </c>
      <c r="R2" s="104">
        <f t="shared" si="0"/>
        <v>45215</v>
      </c>
      <c r="S2" s="104">
        <f t="shared" si="0"/>
        <v>45216</v>
      </c>
      <c r="T2" s="104">
        <f t="shared" si="0"/>
        <v>45217</v>
      </c>
      <c r="U2" s="104">
        <f t="shared" si="0"/>
        <v>45218</v>
      </c>
      <c r="V2" s="104">
        <f t="shared" si="0"/>
        <v>45219</v>
      </c>
      <c r="W2" s="104">
        <f t="shared" si="0"/>
        <v>45220</v>
      </c>
      <c r="X2" s="104">
        <f t="shared" si="0"/>
        <v>45221</v>
      </c>
      <c r="Y2" s="104">
        <f t="shared" si="0"/>
        <v>45222</v>
      </c>
      <c r="Z2" s="104">
        <f t="shared" si="0"/>
        <v>45223</v>
      </c>
      <c r="AA2" s="104">
        <f t="shared" si="0"/>
        <v>45224</v>
      </c>
      <c r="AB2" s="104">
        <f t="shared" si="0"/>
        <v>45225</v>
      </c>
      <c r="AC2" s="104">
        <f t="shared" si="0"/>
        <v>45226</v>
      </c>
      <c r="AD2" s="104">
        <f t="shared" si="0"/>
        <v>45227</v>
      </c>
      <c r="AE2" s="104">
        <f t="shared" si="0"/>
        <v>45228</v>
      </c>
      <c r="AF2" s="104">
        <f t="shared" si="0"/>
        <v>45229</v>
      </c>
      <c r="AG2" s="104">
        <f t="shared" si="0"/>
        <v>45230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0.15</v>
      </c>
      <c r="D3" s="183">
        <v>4.32</v>
      </c>
      <c r="E3" s="183">
        <v>22.72</v>
      </c>
      <c r="F3" s="183">
        <v>25.16</v>
      </c>
      <c r="G3" s="183">
        <v>26.18</v>
      </c>
      <c r="H3" s="183">
        <v>40.44</v>
      </c>
      <c r="I3" s="183">
        <v>76.02</v>
      </c>
      <c r="J3" s="183">
        <v>65.3</v>
      </c>
      <c r="K3" s="183">
        <v>32.29</v>
      </c>
      <c r="L3" s="183">
        <v>12.87</v>
      </c>
      <c r="M3" s="183">
        <v>19.989999999999998</v>
      </c>
      <c r="N3" s="183">
        <v>33.119999999999997</v>
      </c>
      <c r="O3" s="183">
        <v>28.68</v>
      </c>
      <c r="P3" s="183">
        <v>37.14</v>
      </c>
      <c r="Q3" s="183">
        <v>38.79</v>
      </c>
      <c r="R3" s="183">
        <v>24.73</v>
      </c>
      <c r="S3" s="183">
        <v>18.89</v>
      </c>
      <c r="T3" s="183">
        <v>16.82</v>
      </c>
      <c r="U3" s="183">
        <v>29.74</v>
      </c>
      <c r="V3" s="183">
        <v>32.96</v>
      </c>
      <c r="W3" s="183">
        <v>63.2</v>
      </c>
      <c r="X3" s="183">
        <v>35.61</v>
      </c>
      <c r="Y3" s="183">
        <v>18.899999999999999</v>
      </c>
      <c r="Z3" s="183">
        <v>6.35</v>
      </c>
      <c r="AA3" s="183">
        <v>17.25</v>
      </c>
      <c r="AB3" s="183">
        <v>11.62</v>
      </c>
      <c r="AC3" s="183">
        <v>29.54</v>
      </c>
      <c r="AD3" s="183">
        <v>31.31</v>
      </c>
      <c r="AE3" s="183">
        <v>16.72</v>
      </c>
      <c r="AF3" s="183">
        <v>22.9</v>
      </c>
      <c r="AG3" s="183">
        <v>9.5500000000000007</v>
      </c>
      <c r="AH3" s="106">
        <f>SUM(C3:AG3)</f>
        <v>849.2600000000001</v>
      </c>
      <c r="AJ3" s="66" t="s">
        <v>61</v>
      </c>
      <c r="AK3" s="67" t="s">
        <v>62</v>
      </c>
      <c r="AL3" s="208"/>
      <c r="AM3" s="208"/>
    </row>
    <row r="4" spans="1:39" x14ac:dyDescent="0.25">
      <c r="A4" s="69" t="s">
        <v>30</v>
      </c>
      <c r="B4" s="70" t="s">
        <v>226</v>
      </c>
      <c r="C4" s="71"/>
      <c r="D4" s="72"/>
      <c r="E4" s="71">
        <v>4581.2</v>
      </c>
      <c r="F4" s="71">
        <v>4858.3999999999996</v>
      </c>
      <c r="G4" s="71">
        <v>5580.2</v>
      </c>
      <c r="H4" s="71">
        <v>7366.8</v>
      </c>
      <c r="I4" s="71">
        <v>12884.8</v>
      </c>
      <c r="J4" s="71">
        <v>11283.6</v>
      </c>
      <c r="K4" s="71">
        <v>7270.8</v>
      </c>
      <c r="L4" s="71">
        <v>5881.2</v>
      </c>
      <c r="M4" s="71">
        <v>5705.2</v>
      </c>
      <c r="N4" s="71">
        <v>5870.8</v>
      </c>
      <c r="O4" s="71">
        <v>8630.4</v>
      </c>
      <c r="P4" s="71">
        <v>13418.8</v>
      </c>
      <c r="Q4" s="71">
        <v>8339</v>
      </c>
      <c r="R4" s="71">
        <v>6172</v>
      </c>
      <c r="S4" s="71">
        <v>4905.2</v>
      </c>
      <c r="T4" s="71">
        <v>4148.3999999999996</v>
      </c>
      <c r="U4" s="71">
        <v>5136.8</v>
      </c>
      <c r="V4" s="71">
        <v>8752</v>
      </c>
      <c r="W4" s="71">
        <v>12493.8</v>
      </c>
      <c r="X4" s="71">
        <v>6522.4</v>
      </c>
      <c r="Y4" s="71">
        <v>1942.4</v>
      </c>
      <c r="Z4" s="71">
        <v>1423.6</v>
      </c>
      <c r="AA4" s="71">
        <v>1960</v>
      </c>
      <c r="AB4" s="71">
        <v>2296</v>
      </c>
      <c r="AC4" s="71">
        <v>3337.2</v>
      </c>
      <c r="AD4" s="71">
        <v>5096</v>
      </c>
      <c r="AE4" s="71">
        <v>3196.2</v>
      </c>
      <c r="AF4" s="71">
        <v>1594.4</v>
      </c>
      <c r="AG4" s="71">
        <v>1354</v>
      </c>
      <c r="AH4" s="106">
        <f t="shared" ref="AH4:AH28" si="1">SUM(C4:AG4)</f>
        <v>172001.59999999998</v>
      </c>
      <c r="AJ4" s="69" t="s">
        <v>30</v>
      </c>
      <c r="AK4" s="70" t="s">
        <v>31</v>
      </c>
      <c r="AL4" s="208"/>
      <c r="AM4" s="208"/>
    </row>
    <row r="5" spans="1:39" hidden="1" x14ac:dyDescent="0.25">
      <c r="A5" s="368" t="s">
        <v>150</v>
      </c>
      <c r="B5" s="369" t="s">
        <v>151</v>
      </c>
      <c r="C5" s="370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2">
        <f>SUM(C5:AG5)</f>
        <v>0</v>
      </c>
      <c r="AI5" s="373"/>
      <c r="AJ5" s="368" t="s">
        <v>150</v>
      </c>
      <c r="AK5" s="369" t="s">
        <v>151</v>
      </c>
      <c r="AM5" s="208"/>
    </row>
    <row r="6" spans="1:39" s="466" customFormat="1" x14ac:dyDescent="0.25">
      <c r="A6" s="160" t="s">
        <v>152</v>
      </c>
      <c r="B6" s="161" t="s">
        <v>231</v>
      </c>
      <c r="C6" s="478"/>
      <c r="D6" s="479"/>
      <c r="E6" s="479"/>
      <c r="F6" s="479">
        <v>507.5</v>
      </c>
      <c r="G6" s="479"/>
      <c r="H6" s="479">
        <v>200</v>
      </c>
      <c r="I6" s="479"/>
      <c r="J6" s="479">
        <v>1192</v>
      </c>
      <c r="K6" s="479"/>
      <c r="L6" s="479">
        <v>275</v>
      </c>
      <c r="M6" s="479">
        <v>537.5</v>
      </c>
      <c r="N6" s="479">
        <v>448.5</v>
      </c>
      <c r="O6" s="479">
        <v>200</v>
      </c>
      <c r="P6" s="479"/>
      <c r="Q6" s="479"/>
      <c r="R6" s="479"/>
      <c r="S6" s="479">
        <v>165</v>
      </c>
      <c r="T6" s="479">
        <v>165</v>
      </c>
      <c r="U6" s="479">
        <v>680</v>
      </c>
      <c r="V6" s="479"/>
      <c r="W6" s="479">
        <v>40</v>
      </c>
      <c r="X6" s="479"/>
      <c r="Y6" s="479"/>
      <c r="Z6" s="479">
        <v>1360</v>
      </c>
      <c r="AA6" s="479">
        <v>665</v>
      </c>
      <c r="AB6" s="479">
        <v>70</v>
      </c>
      <c r="AC6" s="479">
        <v>520</v>
      </c>
      <c r="AD6" s="479">
        <v>315</v>
      </c>
      <c r="AE6" s="479">
        <v>685</v>
      </c>
      <c r="AF6" s="479">
        <v>245</v>
      </c>
      <c r="AG6" s="479">
        <v>615</v>
      </c>
      <c r="AH6" s="106">
        <f>SUM(C6:AG6)</f>
        <v>8885.5</v>
      </c>
      <c r="AI6" s="62"/>
      <c r="AJ6" s="160" t="s">
        <v>152</v>
      </c>
      <c r="AK6" s="161" t="s">
        <v>192</v>
      </c>
      <c r="AM6" s="480"/>
    </row>
    <row r="7" spans="1:39" s="466" customFormat="1" x14ac:dyDescent="0.25">
      <c r="A7" s="160" t="s">
        <v>152</v>
      </c>
      <c r="B7" s="161" t="s">
        <v>222</v>
      </c>
      <c r="C7" s="478"/>
      <c r="D7" s="479"/>
      <c r="E7" s="479">
        <v>1040</v>
      </c>
      <c r="F7" s="479">
        <v>360</v>
      </c>
      <c r="G7" s="479">
        <v>360</v>
      </c>
      <c r="H7" s="479">
        <v>1180</v>
      </c>
      <c r="I7" s="479">
        <v>900</v>
      </c>
      <c r="J7" s="479">
        <v>1540</v>
      </c>
      <c r="K7" s="479">
        <v>1040</v>
      </c>
      <c r="L7" s="479">
        <v>360</v>
      </c>
      <c r="M7" s="479">
        <v>180</v>
      </c>
      <c r="N7" s="479">
        <v>540</v>
      </c>
      <c r="O7" s="479">
        <v>1040</v>
      </c>
      <c r="P7" s="479">
        <v>1080</v>
      </c>
      <c r="Q7" s="479">
        <v>500</v>
      </c>
      <c r="R7" s="479">
        <v>680</v>
      </c>
      <c r="S7" s="479">
        <v>180</v>
      </c>
      <c r="T7" s="479">
        <v>180</v>
      </c>
      <c r="U7" s="479">
        <v>540</v>
      </c>
      <c r="V7" s="479"/>
      <c r="W7" s="479">
        <v>540</v>
      </c>
      <c r="X7" s="479">
        <v>540</v>
      </c>
      <c r="Y7" s="479">
        <v>680</v>
      </c>
      <c r="Z7" s="479"/>
      <c r="AA7" s="479"/>
      <c r="AB7" s="479">
        <v>180</v>
      </c>
      <c r="AC7" s="479">
        <v>180</v>
      </c>
      <c r="AD7" s="479">
        <v>360</v>
      </c>
      <c r="AE7" s="479">
        <v>360</v>
      </c>
      <c r="AF7" s="479">
        <v>500</v>
      </c>
      <c r="AG7" s="479"/>
      <c r="AH7" s="106">
        <f>SUM(C7:AG7)</f>
        <v>15040</v>
      </c>
      <c r="AI7" s="62"/>
      <c r="AJ7" s="160" t="s">
        <v>152</v>
      </c>
      <c r="AK7" s="161" t="s">
        <v>222</v>
      </c>
      <c r="AM7" s="480"/>
    </row>
    <row r="8" spans="1:39" s="466" customFormat="1" x14ac:dyDescent="0.25">
      <c r="A8" s="160" t="s">
        <v>157</v>
      </c>
      <c r="B8" s="161" t="s">
        <v>229</v>
      </c>
      <c r="C8" s="478"/>
      <c r="D8" s="479"/>
      <c r="E8" s="479"/>
      <c r="F8" s="479"/>
      <c r="G8" s="479"/>
      <c r="H8" s="479"/>
      <c r="I8" s="479"/>
      <c r="J8" s="479"/>
      <c r="K8" s="479"/>
      <c r="L8" s="479"/>
      <c r="M8" s="479"/>
      <c r="N8" s="479"/>
      <c r="O8" s="479"/>
      <c r="P8" s="479"/>
      <c r="Q8" s="479"/>
      <c r="R8" s="479"/>
      <c r="S8" s="479"/>
      <c r="T8" s="479"/>
      <c r="U8" s="479"/>
      <c r="V8" s="479"/>
      <c r="W8" s="479"/>
      <c r="X8" s="479"/>
      <c r="Y8" s="479"/>
      <c r="Z8" s="479"/>
      <c r="AA8" s="479"/>
      <c r="AB8" s="479"/>
      <c r="AC8" s="479"/>
      <c r="AD8" s="479"/>
      <c r="AE8" s="479"/>
      <c r="AF8" s="479"/>
      <c r="AG8" s="479"/>
      <c r="AH8" s="106">
        <f t="shared" ref="AH8:AH13" si="2">SUM(C8:AG8)</f>
        <v>0</v>
      </c>
      <c r="AI8" s="62"/>
      <c r="AJ8" s="160" t="s">
        <v>157</v>
      </c>
      <c r="AK8" s="161" t="s">
        <v>158</v>
      </c>
      <c r="AM8" s="480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6">
        <f>SUM(C9:AG9)</f>
        <v>0</v>
      </c>
      <c r="AJ9" s="69" t="s">
        <v>173</v>
      </c>
      <c r="AK9" s="70" t="s">
        <v>63</v>
      </c>
      <c r="AM9" s="208"/>
    </row>
    <row r="10" spans="1:39" s="466" customFormat="1" x14ac:dyDescent="0.25">
      <c r="A10" s="160" t="s">
        <v>159</v>
      </c>
      <c r="B10" s="161" t="s">
        <v>230</v>
      </c>
      <c r="C10" s="478"/>
      <c r="D10" s="479"/>
      <c r="E10" s="479"/>
      <c r="F10" s="479"/>
      <c r="G10" s="479"/>
      <c r="H10" s="479"/>
      <c r="I10" s="479"/>
      <c r="J10" s="479"/>
      <c r="K10" s="479"/>
      <c r="L10" s="479"/>
      <c r="M10" s="479"/>
      <c r="N10" s="479"/>
      <c r="O10" s="479"/>
      <c r="P10" s="479"/>
      <c r="Q10" s="479"/>
      <c r="R10" s="479"/>
      <c r="S10" s="479"/>
      <c r="T10" s="479"/>
      <c r="U10" s="479"/>
      <c r="V10" s="479"/>
      <c r="W10" s="479"/>
      <c r="X10" s="479"/>
      <c r="Y10" s="479"/>
      <c r="Z10" s="479"/>
      <c r="AA10" s="479"/>
      <c r="AB10" s="479"/>
      <c r="AC10" s="479"/>
      <c r="AD10" s="479"/>
      <c r="AE10" s="479"/>
      <c r="AF10" s="479"/>
      <c r="AG10" s="479"/>
      <c r="AH10" s="106">
        <f t="shared" si="2"/>
        <v>0</v>
      </c>
      <c r="AI10" s="62"/>
      <c r="AJ10" s="160" t="s">
        <v>159</v>
      </c>
      <c r="AK10" s="161" t="s">
        <v>160</v>
      </c>
      <c r="AM10" s="480"/>
    </row>
    <row r="11" spans="1:39" s="466" customFormat="1" hidden="1" x14ac:dyDescent="0.25">
      <c r="A11" s="160" t="s">
        <v>153</v>
      </c>
      <c r="B11" s="161" t="s">
        <v>154</v>
      </c>
      <c r="C11" s="478"/>
      <c r="D11" s="479"/>
      <c r="E11" s="479"/>
      <c r="F11" s="479"/>
      <c r="G11" s="479"/>
      <c r="H11" s="479"/>
      <c r="I11" s="479"/>
      <c r="J11" s="479"/>
      <c r="K11" s="479"/>
      <c r="L11" s="479"/>
      <c r="M11" s="479"/>
      <c r="N11" s="479"/>
      <c r="O11" s="479"/>
      <c r="P11" s="479"/>
      <c r="Q11" s="479"/>
      <c r="R11" s="479"/>
      <c r="S11" s="479"/>
      <c r="T11" s="479"/>
      <c r="U11" s="479"/>
      <c r="V11" s="479"/>
      <c r="W11" s="479"/>
      <c r="X11" s="479"/>
      <c r="Y11" s="479"/>
      <c r="Z11" s="479"/>
      <c r="AA11" s="479"/>
      <c r="AB11" s="479"/>
      <c r="AC11" s="479"/>
      <c r="AD11" s="479"/>
      <c r="AE11" s="479"/>
      <c r="AF11" s="479"/>
      <c r="AG11" s="479"/>
      <c r="AH11" s="106">
        <f t="shared" si="2"/>
        <v>0</v>
      </c>
      <c r="AI11" s="62"/>
      <c r="AJ11" s="160" t="s">
        <v>153</v>
      </c>
      <c r="AK11" s="161" t="s">
        <v>154</v>
      </c>
      <c r="AM11" s="480"/>
    </row>
    <row r="12" spans="1:39" s="466" customFormat="1" hidden="1" x14ac:dyDescent="0.25">
      <c r="A12" s="160" t="s">
        <v>164</v>
      </c>
      <c r="B12" s="161" t="s">
        <v>165</v>
      </c>
      <c r="C12" s="478"/>
      <c r="D12" s="479"/>
      <c r="E12" s="479"/>
      <c r="F12" s="479"/>
      <c r="G12" s="479"/>
      <c r="H12" s="479"/>
      <c r="I12" s="479"/>
      <c r="J12" s="479"/>
      <c r="K12" s="479"/>
      <c r="L12" s="479"/>
      <c r="M12" s="479"/>
      <c r="N12" s="479"/>
      <c r="O12" s="479"/>
      <c r="P12" s="479"/>
      <c r="Q12" s="479"/>
      <c r="R12" s="479"/>
      <c r="S12" s="479"/>
      <c r="T12" s="479"/>
      <c r="U12" s="479"/>
      <c r="V12" s="479"/>
      <c r="W12" s="479"/>
      <c r="X12" s="479"/>
      <c r="Y12" s="479"/>
      <c r="Z12" s="479"/>
      <c r="AA12" s="479"/>
      <c r="AB12" s="479"/>
      <c r="AC12" s="479"/>
      <c r="AD12" s="479"/>
      <c r="AE12" s="479"/>
      <c r="AF12" s="479"/>
      <c r="AG12" s="479"/>
      <c r="AH12" s="106">
        <f t="shared" si="2"/>
        <v>0</v>
      </c>
      <c r="AI12" s="62"/>
      <c r="AJ12" s="160" t="s">
        <v>164</v>
      </c>
      <c r="AK12" s="161" t="s">
        <v>165</v>
      </c>
      <c r="AM12" s="480"/>
    </row>
    <row r="13" spans="1:39" s="466" customFormat="1" hidden="1" x14ac:dyDescent="0.25">
      <c r="A13" s="160" t="s">
        <v>166</v>
      </c>
      <c r="B13" s="161" t="s">
        <v>167</v>
      </c>
      <c r="C13" s="478"/>
      <c r="D13" s="479"/>
      <c r="E13" s="479"/>
      <c r="F13" s="479"/>
      <c r="G13" s="479"/>
      <c r="H13" s="479"/>
      <c r="I13" s="479"/>
      <c r="J13" s="479"/>
      <c r="K13" s="479"/>
      <c r="L13" s="479"/>
      <c r="M13" s="479"/>
      <c r="N13" s="479"/>
      <c r="O13" s="479"/>
      <c r="P13" s="479"/>
      <c r="Q13" s="479"/>
      <c r="R13" s="479"/>
      <c r="S13" s="479"/>
      <c r="T13" s="479"/>
      <c r="U13" s="479"/>
      <c r="V13" s="479"/>
      <c r="W13" s="479"/>
      <c r="X13" s="479"/>
      <c r="Y13" s="479"/>
      <c r="Z13" s="479"/>
      <c r="AA13" s="479"/>
      <c r="AB13" s="479"/>
      <c r="AC13" s="479"/>
      <c r="AD13" s="479"/>
      <c r="AE13" s="479"/>
      <c r="AF13" s="479"/>
      <c r="AG13" s="479"/>
      <c r="AH13" s="106">
        <f t="shared" si="2"/>
        <v>0</v>
      </c>
      <c r="AI13" s="62"/>
      <c r="AJ13" s="160" t="s">
        <v>166</v>
      </c>
      <c r="AK13" s="161" t="s">
        <v>167</v>
      </c>
      <c r="AM13" s="480"/>
    </row>
    <row r="14" spans="1:39" s="466" customFormat="1" x14ac:dyDescent="0.25">
      <c r="A14" s="160" t="s">
        <v>34</v>
      </c>
      <c r="B14" s="161" t="s">
        <v>227</v>
      </c>
      <c r="C14" s="478">
        <v>4</v>
      </c>
      <c r="D14" s="479"/>
      <c r="E14" s="479">
        <v>82</v>
      </c>
      <c r="F14" s="479">
        <v>16</v>
      </c>
      <c r="G14" s="479">
        <v>8</v>
      </c>
      <c r="H14" s="479">
        <v>24</v>
      </c>
      <c r="I14" s="479">
        <v>40</v>
      </c>
      <c r="J14" s="479">
        <v>44</v>
      </c>
      <c r="K14" s="479">
        <v>334</v>
      </c>
      <c r="L14" s="479">
        <v>308</v>
      </c>
      <c r="M14" s="479">
        <v>43</v>
      </c>
      <c r="N14" s="479">
        <v>12</v>
      </c>
      <c r="O14" s="479">
        <v>8</v>
      </c>
      <c r="P14" s="479">
        <v>167</v>
      </c>
      <c r="Q14" s="479">
        <v>8</v>
      </c>
      <c r="R14" s="479">
        <v>12</v>
      </c>
      <c r="S14" s="479">
        <v>16</v>
      </c>
      <c r="T14" s="479">
        <v>4</v>
      </c>
      <c r="U14" s="479">
        <v>4</v>
      </c>
      <c r="V14" s="479">
        <v>28</v>
      </c>
      <c r="W14" s="479">
        <v>24</v>
      </c>
      <c r="X14" s="479">
        <v>251</v>
      </c>
      <c r="Y14" s="479"/>
      <c r="Z14" s="479"/>
      <c r="AA14" s="479">
        <v>4</v>
      </c>
      <c r="AB14" s="479">
        <v>4</v>
      </c>
      <c r="AC14" s="479">
        <v>8</v>
      </c>
      <c r="AD14" s="479"/>
      <c r="AE14" s="479">
        <v>24</v>
      </c>
      <c r="AF14" s="479"/>
      <c r="AG14" s="479"/>
      <c r="AH14" s="106">
        <f t="shared" si="1"/>
        <v>1477</v>
      </c>
      <c r="AI14" s="62"/>
      <c r="AJ14" s="160" t="s">
        <v>34</v>
      </c>
      <c r="AK14" s="161" t="s">
        <v>35</v>
      </c>
    </row>
    <row r="15" spans="1:39" s="466" customFormat="1" x14ac:dyDescent="0.25">
      <c r="A15" s="160" t="s">
        <v>36</v>
      </c>
      <c r="B15" s="161" t="s">
        <v>37</v>
      </c>
      <c r="C15" s="478"/>
      <c r="D15" s="479">
        <v>20.68</v>
      </c>
      <c r="E15" s="479">
        <v>237.11</v>
      </c>
      <c r="F15" s="479">
        <v>242.87</v>
      </c>
      <c r="G15" s="479">
        <v>277.62</v>
      </c>
      <c r="H15" s="479">
        <v>414.45</v>
      </c>
      <c r="I15" s="479">
        <v>790.57</v>
      </c>
      <c r="J15" s="479">
        <v>667.83</v>
      </c>
      <c r="K15" s="479">
        <v>328.01</v>
      </c>
      <c r="L15" s="479">
        <v>129.72999999999999</v>
      </c>
      <c r="M15" s="479">
        <v>203.45</v>
      </c>
      <c r="N15" s="479">
        <v>336.15</v>
      </c>
      <c r="O15" s="479">
        <v>302.23</v>
      </c>
      <c r="P15" s="479">
        <v>376.96</v>
      </c>
      <c r="Q15" s="479">
        <v>390.87</v>
      </c>
      <c r="R15" s="479">
        <v>244.23</v>
      </c>
      <c r="S15" s="479">
        <v>193.25</v>
      </c>
      <c r="T15" s="479">
        <v>178.28</v>
      </c>
      <c r="U15" s="479">
        <v>300.29000000000002</v>
      </c>
      <c r="V15" s="479">
        <v>343.92</v>
      </c>
      <c r="W15" s="479">
        <v>671.71</v>
      </c>
      <c r="X15" s="479">
        <v>352.05</v>
      </c>
      <c r="Y15" s="479">
        <v>176.65</v>
      </c>
      <c r="Z15" s="479">
        <v>57.58</v>
      </c>
      <c r="AA15" s="479">
        <v>174.57</v>
      </c>
      <c r="AB15" s="479">
        <v>117.9</v>
      </c>
      <c r="AC15" s="479">
        <v>293</v>
      </c>
      <c r="AD15" s="479">
        <v>313.18</v>
      </c>
      <c r="AE15" s="479">
        <v>157.02000000000001</v>
      </c>
      <c r="AF15" s="479">
        <v>224.83</v>
      </c>
      <c r="AG15" s="479">
        <v>92.76</v>
      </c>
      <c r="AH15" s="106">
        <f t="shared" si="1"/>
        <v>8609.7499999999982</v>
      </c>
      <c r="AI15" s="62"/>
      <c r="AJ15" s="160" t="s">
        <v>36</v>
      </c>
      <c r="AK15" s="161" t="s">
        <v>37</v>
      </c>
    </row>
    <row r="16" spans="1:39" s="466" customFormat="1" hidden="1" x14ac:dyDescent="0.25">
      <c r="A16" s="160" t="s">
        <v>194</v>
      </c>
      <c r="B16" s="161" t="s">
        <v>111</v>
      </c>
      <c r="C16" s="478"/>
      <c r="D16" s="479"/>
      <c r="E16" s="479"/>
      <c r="F16" s="479"/>
      <c r="G16" s="479"/>
      <c r="H16" s="479"/>
      <c r="I16" s="479"/>
      <c r="J16" s="479"/>
      <c r="K16" s="479"/>
      <c r="L16" s="479"/>
      <c r="M16" s="479"/>
      <c r="N16" s="479"/>
      <c r="O16" s="479"/>
      <c r="P16" s="479"/>
      <c r="Q16" s="479"/>
      <c r="R16" s="479"/>
      <c r="S16" s="479"/>
      <c r="T16" s="479"/>
      <c r="U16" s="479"/>
      <c r="V16" s="479"/>
      <c r="W16" s="479"/>
      <c r="X16" s="479"/>
      <c r="Y16" s="479"/>
      <c r="Z16" s="479"/>
      <c r="AA16" s="479"/>
      <c r="AB16" s="479"/>
      <c r="AC16" s="479"/>
      <c r="AD16" s="479"/>
      <c r="AE16" s="479"/>
      <c r="AF16" s="479"/>
      <c r="AG16" s="479"/>
      <c r="AH16" s="106">
        <f t="shared" si="1"/>
        <v>0</v>
      </c>
      <c r="AI16" s="62"/>
      <c r="AJ16" s="160" t="s">
        <v>110</v>
      </c>
      <c r="AK16" s="161" t="s">
        <v>111</v>
      </c>
    </row>
    <row r="17" spans="1:39" s="466" customFormat="1" x14ac:dyDescent="0.25">
      <c r="A17" s="160" t="s">
        <v>36</v>
      </c>
      <c r="B17" s="161" t="s">
        <v>225</v>
      </c>
      <c r="C17" s="478">
        <v>1.6</v>
      </c>
      <c r="D17" s="479"/>
      <c r="E17" s="479">
        <v>9.82</v>
      </c>
      <c r="F17" s="479">
        <v>8.2200000000000006</v>
      </c>
      <c r="G17" s="479">
        <v>3.2</v>
      </c>
      <c r="H17" s="479">
        <v>14.61</v>
      </c>
      <c r="I17" s="479">
        <v>16.66</v>
      </c>
      <c r="J17" s="479">
        <v>15.98</v>
      </c>
      <c r="K17" s="479">
        <v>13.7</v>
      </c>
      <c r="L17" s="479">
        <v>4.8</v>
      </c>
      <c r="M17" s="479">
        <v>4.5599999999999996</v>
      </c>
      <c r="N17" s="479">
        <v>14.38</v>
      </c>
      <c r="O17" s="479">
        <v>4.34</v>
      </c>
      <c r="P17" s="479">
        <v>15.52</v>
      </c>
      <c r="Q17" s="479">
        <v>21.24</v>
      </c>
      <c r="R17" s="479">
        <v>15.54</v>
      </c>
      <c r="S17" s="479">
        <v>9.36</v>
      </c>
      <c r="T17" s="479">
        <v>6.4</v>
      </c>
      <c r="U17" s="479">
        <v>16.22</v>
      </c>
      <c r="V17" s="479">
        <v>5.0199999999999996</v>
      </c>
      <c r="W17" s="479">
        <v>4.34</v>
      </c>
      <c r="X17" s="479">
        <v>27.84</v>
      </c>
      <c r="Y17" s="479">
        <v>11.2</v>
      </c>
      <c r="Z17" s="479">
        <v>9.82</v>
      </c>
      <c r="AA17" s="479">
        <v>8.68</v>
      </c>
      <c r="AB17" s="479">
        <v>5.48</v>
      </c>
      <c r="AC17" s="479">
        <v>16.66</v>
      </c>
      <c r="AD17" s="479">
        <v>13</v>
      </c>
      <c r="AE17" s="479">
        <v>16.88</v>
      </c>
      <c r="AF17" s="479">
        <v>5.0199999999999996</v>
      </c>
      <c r="AG17" s="479">
        <v>8.44</v>
      </c>
      <c r="AH17" s="106">
        <f t="shared" si="1"/>
        <v>328.53</v>
      </c>
      <c r="AI17" s="62"/>
      <c r="AJ17" s="160" t="s">
        <v>36</v>
      </c>
      <c r="AK17" s="161" t="s">
        <v>225</v>
      </c>
    </row>
    <row r="18" spans="1:39" s="466" customFormat="1" x14ac:dyDescent="0.25">
      <c r="A18" s="160" t="s">
        <v>77</v>
      </c>
      <c r="B18" s="161" t="s">
        <v>193</v>
      </c>
      <c r="C18" s="478">
        <v>48</v>
      </c>
      <c r="D18" s="479"/>
      <c r="E18" s="479"/>
      <c r="F18" s="479">
        <v>372.5</v>
      </c>
      <c r="G18" s="479">
        <v>24</v>
      </c>
      <c r="H18" s="479"/>
      <c r="I18" s="479"/>
      <c r="J18" s="479"/>
      <c r="K18" s="479"/>
      <c r="L18" s="479"/>
      <c r="M18" s="479">
        <v>412.5</v>
      </c>
      <c r="N18" s="479">
        <v>119.5</v>
      </c>
      <c r="O18" s="479"/>
      <c r="P18" s="479"/>
      <c r="Q18" s="479"/>
      <c r="R18" s="479"/>
      <c r="S18" s="479">
        <v>375</v>
      </c>
      <c r="T18" s="479">
        <v>165</v>
      </c>
      <c r="U18" s="479">
        <v>300</v>
      </c>
      <c r="V18" s="479">
        <v>111</v>
      </c>
      <c r="W18" s="479">
        <v>64</v>
      </c>
      <c r="X18" s="479"/>
      <c r="Y18" s="479">
        <v>48</v>
      </c>
      <c r="Z18" s="479">
        <v>635</v>
      </c>
      <c r="AA18" s="479">
        <v>40</v>
      </c>
      <c r="AB18" s="479">
        <v>110</v>
      </c>
      <c r="AC18" s="479">
        <v>356</v>
      </c>
      <c r="AD18" s="479">
        <v>40</v>
      </c>
      <c r="AE18" s="479">
        <v>200</v>
      </c>
      <c r="AF18" s="479">
        <v>333</v>
      </c>
      <c r="AG18" s="479">
        <v>285</v>
      </c>
      <c r="AH18" s="106">
        <f t="shared" si="1"/>
        <v>4038.5</v>
      </c>
      <c r="AI18" s="62"/>
      <c r="AJ18" s="160" t="s">
        <v>77</v>
      </c>
      <c r="AK18" s="161" t="s">
        <v>78</v>
      </c>
      <c r="AL18" s="480"/>
    </row>
    <row r="19" spans="1:39" s="466" customFormat="1" hidden="1" x14ac:dyDescent="0.25">
      <c r="A19" s="160" t="s">
        <v>38</v>
      </c>
      <c r="B19" s="161" t="s">
        <v>39</v>
      </c>
      <c r="C19" s="478"/>
      <c r="D19" s="479"/>
      <c r="E19" s="479"/>
      <c r="F19" s="479"/>
      <c r="G19" s="479"/>
      <c r="H19" s="479"/>
      <c r="I19" s="479"/>
      <c r="J19" s="479"/>
      <c r="K19" s="479"/>
      <c r="L19" s="479"/>
      <c r="M19" s="479"/>
      <c r="N19" s="479"/>
      <c r="O19" s="479"/>
      <c r="P19" s="479"/>
      <c r="Q19" s="479"/>
      <c r="R19" s="479"/>
      <c r="S19" s="479"/>
      <c r="T19" s="479"/>
      <c r="U19" s="479"/>
      <c r="V19" s="479"/>
      <c r="W19" s="479"/>
      <c r="X19" s="479"/>
      <c r="Y19" s="479"/>
      <c r="Z19" s="479"/>
      <c r="AA19" s="479"/>
      <c r="AB19" s="479"/>
      <c r="AC19" s="479"/>
      <c r="AD19" s="479"/>
      <c r="AE19" s="479"/>
      <c r="AF19" s="479"/>
      <c r="AG19" s="479"/>
      <c r="AH19" s="106">
        <f t="shared" si="1"/>
        <v>0</v>
      </c>
      <c r="AI19" s="62"/>
      <c r="AJ19" s="160" t="s">
        <v>38</v>
      </c>
      <c r="AK19" s="161" t="s">
        <v>39</v>
      </c>
    </row>
    <row r="20" spans="1:39" s="466" customFormat="1" x14ac:dyDescent="0.25">
      <c r="A20" s="160" t="s">
        <v>40</v>
      </c>
      <c r="B20" s="161" t="s">
        <v>228</v>
      </c>
      <c r="C20" s="478"/>
      <c r="D20" s="479"/>
      <c r="E20" s="479"/>
      <c r="F20" s="479"/>
      <c r="G20" s="479"/>
      <c r="H20" s="479"/>
      <c r="I20" s="479"/>
      <c r="J20" s="479"/>
      <c r="K20" s="479"/>
      <c r="L20" s="479"/>
      <c r="M20" s="479"/>
      <c r="N20" s="479"/>
      <c r="O20" s="479"/>
      <c r="P20" s="479"/>
      <c r="Q20" s="479"/>
      <c r="R20" s="479"/>
      <c r="S20" s="479"/>
      <c r="T20" s="479"/>
      <c r="U20" s="479"/>
      <c r="V20" s="479"/>
      <c r="W20" s="479"/>
      <c r="X20" s="479"/>
      <c r="Y20" s="479"/>
      <c r="Z20" s="479"/>
      <c r="AA20" s="479"/>
      <c r="AB20" s="479"/>
      <c r="AC20" s="479"/>
      <c r="AD20" s="479"/>
      <c r="AE20" s="479"/>
      <c r="AF20" s="479"/>
      <c r="AG20" s="479"/>
      <c r="AH20" s="106">
        <f>SUM(C20:AG20)</f>
        <v>0</v>
      </c>
      <c r="AI20" s="62"/>
      <c r="AJ20" s="160" t="s">
        <v>40</v>
      </c>
      <c r="AK20" s="161" t="s">
        <v>41</v>
      </c>
    </row>
    <row r="21" spans="1:39" s="466" customFormat="1" x14ac:dyDescent="0.25">
      <c r="A21" s="160" t="s">
        <v>161</v>
      </c>
      <c r="B21" s="161" t="s">
        <v>162</v>
      </c>
      <c r="C21" s="478"/>
      <c r="D21" s="479"/>
      <c r="E21" s="479"/>
      <c r="F21" s="479"/>
      <c r="G21" s="479"/>
      <c r="H21" s="479"/>
      <c r="I21" s="479"/>
      <c r="J21" s="479"/>
      <c r="K21" s="479"/>
      <c r="L21" s="479"/>
      <c r="M21" s="479"/>
      <c r="N21" s="479"/>
      <c r="O21" s="479"/>
      <c r="P21" s="479"/>
      <c r="Q21" s="479"/>
      <c r="R21" s="479"/>
      <c r="S21" s="479"/>
      <c r="T21" s="479"/>
      <c r="U21" s="479"/>
      <c r="V21" s="479"/>
      <c r="W21" s="479"/>
      <c r="X21" s="479"/>
      <c r="Y21" s="479"/>
      <c r="Z21" s="479"/>
      <c r="AA21" s="479"/>
      <c r="AB21" s="479"/>
      <c r="AC21" s="479"/>
      <c r="AD21" s="479"/>
      <c r="AE21" s="479"/>
      <c r="AF21" s="479"/>
      <c r="AG21" s="479"/>
      <c r="AH21" s="106">
        <f t="shared" si="1"/>
        <v>0</v>
      </c>
      <c r="AI21" s="62"/>
      <c r="AJ21" s="160" t="s">
        <v>161</v>
      </c>
      <c r="AK21" s="161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6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6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6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6">
        <f t="shared" si="1"/>
        <v>0</v>
      </c>
      <c r="AJ25" s="69" t="s">
        <v>48</v>
      </c>
      <c r="AK25" s="70" t="s">
        <v>49</v>
      </c>
      <c r="AM25" s="208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6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6">
        <f t="shared" si="1"/>
        <v>0</v>
      </c>
      <c r="AJ27" s="493" t="s">
        <v>52</v>
      </c>
      <c r="AK27" s="494" t="s">
        <v>53</v>
      </c>
    </row>
    <row r="28" spans="1:39" ht="16.5" thickBot="1" x14ac:dyDescent="0.3">
      <c r="A28" s="75" t="s">
        <v>109</v>
      </c>
      <c r="B28" s="76" t="s">
        <v>175</v>
      </c>
      <c r="C28" s="77"/>
      <c r="D28" s="78"/>
      <c r="E28" s="78"/>
      <c r="F28" s="78"/>
      <c r="G28" s="78"/>
      <c r="H28" s="78"/>
      <c r="I28" s="78"/>
      <c r="J28" s="78"/>
      <c r="K28" s="78"/>
      <c r="L28" s="78">
        <v>52</v>
      </c>
      <c r="M28" s="78"/>
      <c r="N28" s="78"/>
      <c r="O28" s="78"/>
      <c r="P28" s="78"/>
      <c r="Q28" s="78"/>
      <c r="R28" s="78"/>
      <c r="S28" s="78"/>
      <c r="T28" s="78"/>
      <c r="U28" s="78">
        <v>36</v>
      </c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106">
        <f t="shared" si="1"/>
        <v>88</v>
      </c>
      <c r="AJ28" s="75" t="s">
        <v>109</v>
      </c>
      <c r="AK28" s="76" t="s">
        <v>85</v>
      </c>
      <c r="AL28" s="208"/>
    </row>
    <row r="29" spans="1:39" s="60" customFormat="1" ht="13.5" thickBot="1" x14ac:dyDescent="0.25">
      <c r="A29" s="197"/>
      <c r="B29" s="82" t="s">
        <v>64</v>
      </c>
      <c r="C29" s="105">
        <f t="shared" ref="C29:AG29" si="3">SUM(C3:C28)</f>
        <v>53.75</v>
      </c>
      <c r="D29" s="105">
        <f t="shared" si="3"/>
        <v>25</v>
      </c>
      <c r="E29" s="105">
        <f t="shared" si="3"/>
        <v>5972.8499999999995</v>
      </c>
      <c r="F29" s="105">
        <f t="shared" si="3"/>
        <v>6390.65</v>
      </c>
      <c r="G29" s="105">
        <f t="shared" si="3"/>
        <v>6279.2</v>
      </c>
      <c r="H29" s="105">
        <f t="shared" si="3"/>
        <v>9240.3000000000011</v>
      </c>
      <c r="I29" s="105">
        <f t="shared" si="3"/>
        <v>14708.05</v>
      </c>
      <c r="J29" s="105">
        <f t="shared" si="3"/>
        <v>14808.71</v>
      </c>
      <c r="K29" s="105">
        <f t="shared" si="3"/>
        <v>9018.8000000000011</v>
      </c>
      <c r="L29" s="105">
        <f t="shared" si="3"/>
        <v>7023.5999999999995</v>
      </c>
      <c r="M29" s="105">
        <f t="shared" si="3"/>
        <v>7106.2</v>
      </c>
      <c r="N29" s="105">
        <f t="shared" si="3"/>
        <v>7374.45</v>
      </c>
      <c r="O29" s="105">
        <f t="shared" si="3"/>
        <v>10213.65</v>
      </c>
      <c r="P29" s="105">
        <f t="shared" si="3"/>
        <v>15095.419999999998</v>
      </c>
      <c r="Q29" s="105">
        <f t="shared" si="3"/>
        <v>9297.9000000000015</v>
      </c>
      <c r="R29" s="105">
        <f t="shared" si="3"/>
        <v>7148.4999999999991</v>
      </c>
      <c r="S29" s="105">
        <f t="shared" si="3"/>
        <v>5862.7</v>
      </c>
      <c r="T29" s="105">
        <f t="shared" si="3"/>
        <v>4863.8999999999987</v>
      </c>
      <c r="U29" s="105">
        <f t="shared" si="3"/>
        <v>7043.05</v>
      </c>
      <c r="V29" s="105">
        <f t="shared" si="3"/>
        <v>9272.9</v>
      </c>
      <c r="W29" s="105">
        <f t="shared" si="3"/>
        <v>13901.05</v>
      </c>
      <c r="X29" s="105">
        <f t="shared" si="3"/>
        <v>7728.9</v>
      </c>
      <c r="Y29" s="105">
        <f t="shared" si="3"/>
        <v>2877.15</v>
      </c>
      <c r="Z29" s="105">
        <f t="shared" si="3"/>
        <v>3492.35</v>
      </c>
      <c r="AA29" s="105">
        <f t="shared" si="3"/>
        <v>2869.5</v>
      </c>
      <c r="AB29" s="105">
        <f t="shared" si="3"/>
        <v>2795</v>
      </c>
      <c r="AC29" s="105">
        <f t="shared" si="3"/>
        <v>4740.3999999999996</v>
      </c>
      <c r="AD29" s="105">
        <f t="shared" si="3"/>
        <v>6168.4900000000007</v>
      </c>
      <c r="AE29" s="105">
        <f t="shared" si="3"/>
        <v>4655.8200000000006</v>
      </c>
      <c r="AF29" s="105">
        <f t="shared" si="3"/>
        <v>2925.15</v>
      </c>
      <c r="AG29" s="105">
        <f t="shared" si="3"/>
        <v>2364.75</v>
      </c>
      <c r="AH29" s="107">
        <f>SUM(C3:AG28)</f>
        <v>211318.13999999996</v>
      </c>
      <c r="AI29" s="83"/>
      <c r="AJ29" s="273"/>
      <c r="AK29" s="274" t="s">
        <v>64</v>
      </c>
    </row>
    <row r="30" spans="1:39" s="60" customFormat="1" ht="13.5" thickBot="1" x14ac:dyDescent="0.25">
      <c r="A30" s="198"/>
      <c r="B30" s="89" t="s">
        <v>104</v>
      </c>
      <c r="C30" s="72">
        <v>53.75</v>
      </c>
      <c r="D30" s="72">
        <v>25</v>
      </c>
      <c r="E30" s="72">
        <v>5972.85</v>
      </c>
      <c r="F30" s="72">
        <v>6390.65</v>
      </c>
      <c r="G30" s="72">
        <v>6279.2</v>
      </c>
      <c r="H30" s="72">
        <v>9240.2999999999993</v>
      </c>
      <c r="I30" s="72">
        <v>14708.05</v>
      </c>
      <c r="J30" s="72">
        <v>14808.71</v>
      </c>
      <c r="K30" s="72">
        <v>9018.7999999999993</v>
      </c>
      <c r="L30" s="72">
        <v>7023.6</v>
      </c>
      <c r="M30" s="72">
        <v>7106.2</v>
      </c>
      <c r="N30" s="72">
        <v>7374.45</v>
      </c>
      <c r="O30" s="72">
        <v>10213.65</v>
      </c>
      <c r="P30" s="72">
        <v>15095.42</v>
      </c>
      <c r="Q30" s="72">
        <v>9297.9</v>
      </c>
      <c r="R30" s="72">
        <v>7148.5</v>
      </c>
      <c r="S30" s="72">
        <v>5862.7</v>
      </c>
      <c r="T30" s="72">
        <v>4863.8999999999996</v>
      </c>
      <c r="U30" s="72">
        <v>7043.05</v>
      </c>
      <c r="V30" s="72">
        <v>9272.9</v>
      </c>
      <c r="W30" s="72">
        <v>13901.05</v>
      </c>
      <c r="X30" s="72">
        <v>7728.9</v>
      </c>
      <c r="Y30" s="72">
        <v>2877.15</v>
      </c>
      <c r="Z30" s="72">
        <v>3492.35</v>
      </c>
      <c r="AA30" s="72">
        <v>2869.5</v>
      </c>
      <c r="AB30" s="72">
        <v>2795</v>
      </c>
      <c r="AC30" s="72">
        <v>4740.3999999999996</v>
      </c>
      <c r="AD30" s="72">
        <v>6168.49</v>
      </c>
      <c r="AE30" s="72">
        <v>4655.82</v>
      </c>
      <c r="AF30" s="72">
        <v>2925.15</v>
      </c>
      <c r="AG30" s="72">
        <v>2364.75</v>
      </c>
      <c r="AH30" s="189">
        <f>SUM(C30:AG30)</f>
        <v>211318.13999999993</v>
      </c>
      <c r="AI30" s="83"/>
      <c r="AJ30" s="188"/>
      <c r="AK30" s="188"/>
    </row>
    <row r="31" spans="1:39" s="60" customFormat="1" thickBot="1" x14ac:dyDescent="0.3">
      <c r="A31" s="199"/>
      <c r="B31" s="102" t="s">
        <v>103</v>
      </c>
      <c r="C31" s="131">
        <f t="shared" ref="C31:AH31" si="4">C29-C30</f>
        <v>0</v>
      </c>
      <c r="D31" s="131">
        <f t="shared" si="4"/>
        <v>0</v>
      </c>
      <c r="E31" s="131">
        <f t="shared" si="4"/>
        <v>0</v>
      </c>
      <c r="F31" s="131">
        <f t="shared" si="4"/>
        <v>0</v>
      </c>
      <c r="G31" s="131">
        <f t="shared" si="4"/>
        <v>0</v>
      </c>
      <c r="H31" s="131">
        <f t="shared" si="4"/>
        <v>0</v>
      </c>
      <c r="I31" s="131">
        <f t="shared" si="4"/>
        <v>0</v>
      </c>
      <c r="J31" s="131">
        <f t="shared" si="4"/>
        <v>0</v>
      </c>
      <c r="K31" s="131">
        <f t="shared" si="4"/>
        <v>0</v>
      </c>
      <c r="L31" s="131">
        <f t="shared" si="4"/>
        <v>0</v>
      </c>
      <c r="M31" s="131">
        <f t="shared" si="4"/>
        <v>0</v>
      </c>
      <c r="N31" s="131">
        <f t="shared" si="4"/>
        <v>0</v>
      </c>
      <c r="O31" s="131">
        <f t="shared" si="4"/>
        <v>0</v>
      </c>
      <c r="P31" s="131">
        <f t="shared" si="4"/>
        <v>0</v>
      </c>
      <c r="Q31" s="131">
        <f t="shared" si="4"/>
        <v>0</v>
      </c>
      <c r="R31" s="131">
        <f t="shared" si="4"/>
        <v>0</v>
      </c>
      <c r="S31" s="131">
        <f t="shared" si="4"/>
        <v>0</v>
      </c>
      <c r="T31" s="131">
        <f t="shared" si="4"/>
        <v>0</v>
      </c>
      <c r="U31" s="131">
        <f t="shared" si="4"/>
        <v>0</v>
      </c>
      <c r="V31" s="131">
        <f t="shared" si="4"/>
        <v>0</v>
      </c>
      <c r="W31" s="131">
        <f t="shared" si="4"/>
        <v>0</v>
      </c>
      <c r="X31" s="131">
        <f t="shared" si="4"/>
        <v>0</v>
      </c>
      <c r="Y31" s="131">
        <f t="shared" si="4"/>
        <v>0</v>
      </c>
      <c r="Z31" s="131">
        <f t="shared" si="4"/>
        <v>0</v>
      </c>
      <c r="AA31" s="131">
        <f t="shared" si="4"/>
        <v>0</v>
      </c>
      <c r="AB31" s="131">
        <f t="shared" si="4"/>
        <v>0</v>
      </c>
      <c r="AC31" s="131">
        <f t="shared" si="4"/>
        <v>0</v>
      </c>
      <c r="AD31" s="131">
        <f t="shared" si="4"/>
        <v>0</v>
      </c>
      <c r="AE31" s="131">
        <f t="shared" si="4"/>
        <v>0</v>
      </c>
      <c r="AF31" s="131">
        <f t="shared" si="4"/>
        <v>0</v>
      </c>
      <c r="AG31" s="131">
        <f t="shared" si="4"/>
        <v>0</v>
      </c>
      <c r="AH31" s="275">
        <f t="shared" si="4"/>
        <v>0</v>
      </c>
      <c r="AI31" s="83"/>
      <c r="AJ31" s="505" t="s">
        <v>127</v>
      </c>
      <c r="AK31" s="506"/>
      <c r="AL31" s="506"/>
      <c r="AM31" s="507"/>
    </row>
    <row r="32" spans="1:39" ht="16.5" thickBot="1" x14ac:dyDescent="0.3">
      <c r="A32" s="193"/>
      <c r="B32" s="194"/>
      <c r="C32" s="195"/>
      <c r="D32" s="194"/>
      <c r="E32" s="194"/>
      <c r="F32" s="194"/>
      <c r="G32" s="194"/>
      <c r="H32" s="276"/>
      <c r="I32" s="194"/>
      <c r="J32" s="194"/>
      <c r="K32" s="194"/>
      <c r="L32" s="194"/>
      <c r="M32" s="194"/>
      <c r="N32" s="194"/>
      <c r="O32" s="194"/>
      <c r="P32" s="194"/>
      <c r="Q32" s="194"/>
      <c r="R32" s="261"/>
      <c r="S32" s="194"/>
      <c r="T32" s="194"/>
      <c r="U32" s="194"/>
      <c r="V32" s="194"/>
      <c r="W32" s="194"/>
      <c r="X32" s="194"/>
      <c r="Y32" s="195"/>
      <c r="Z32" s="194"/>
      <c r="AA32" s="194"/>
      <c r="AB32" s="194"/>
      <c r="AC32" s="194"/>
      <c r="AD32" s="194"/>
      <c r="AE32" s="194"/>
      <c r="AF32" s="194"/>
      <c r="AG32" s="194"/>
      <c r="AH32" s="196"/>
      <c r="AJ32" s="280" t="s">
        <v>66</v>
      </c>
      <c r="AK32" s="281" t="s">
        <v>128</v>
      </c>
      <c r="AL32" s="281" t="s">
        <v>120</v>
      </c>
      <c r="AM32" s="282" t="s">
        <v>121</v>
      </c>
    </row>
    <row r="33" spans="1:40" x14ac:dyDescent="0.25">
      <c r="A33" s="87" t="s">
        <v>60</v>
      </c>
      <c r="B33" s="82" t="s">
        <v>54</v>
      </c>
      <c r="C33" s="390"/>
      <c r="D33" s="390">
        <v>25</v>
      </c>
      <c r="E33" s="390">
        <v>1301.55</v>
      </c>
      <c r="F33" s="390">
        <v>905.75</v>
      </c>
      <c r="G33" s="390">
        <v>805.5</v>
      </c>
      <c r="H33" s="390">
        <v>1615.75</v>
      </c>
      <c r="I33" s="390">
        <v>1689.2</v>
      </c>
      <c r="J33" s="390">
        <v>2216.25</v>
      </c>
      <c r="K33" s="390">
        <v>1627.7</v>
      </c>
      <c r="L33" s="390">
        <v>1631.95</v>
      </c>
      <c r="M33" s="390">
        <v>1245.25</v>
      </c>
      <c r="N33" s="390">
        <v>684.9</v>
      </c>
      <c r="O33" s="390">
        <v>1220.4000000000001</v>
      </c>
      <c r="P33" s="390">
        <v>1887.75</v>
      </c>
      <c r="Q33" s="390">
        <v>1687</v>
      </c>
      <c r="R33" s="390">
        <v>800.65</v>
      </c>
      <c r="S33" s="390">
        <v>818.4</v>
      </c>
      <c r="T33" s="390">
        <v>776.3</v>
      </c>
      <c r="U33" s="390">
        <v>923.25</v>
      </c>
      <c r="V33" s="390">
        <v>777.5</v>
      </c>
      <c r="W33" s="390">
        <v>2260.8000000000002</v>
      </c>
      <c r="X33" s="390">
        <v>1005.6</v>
      </c>
      <c r="Y33" s="390">
        <v>371.3</v>
      </c>
      <c r="Z33" s="390">
        <v>303.5</v>
      </c>
      <c r="AA33" s="390">
        <v>537.79</v>
      </c>
      <c r="AB33" s="390">
        <v>784.75</v>
      </c>
      <c r="AC33" s="391">
        <v>485.35</v>
      </c>
      <c r="AD33" s="391">
        <v>1004.45</v>
      </c>
      <c r="AE33" s="391">
        <v>402.55</v>
      </c>
      <c r="AF33" s="391">
        <v>357.2</v>
      </c>
      <c r="AG33" s="391">
        <v>216.5</v>
      </c>
      <c r="AH33" s="108">
        <f>SUM(C33:AG33)</f>
        <v>30369.84</v>
      </c>
      <c r="AJ33" s="135" t="s">
        <v>60</v>
      </c>
      <c r="AK33" s="136" t="s">
        <v>122</v>
      </c>
      <c r="AL33" s="384">
        <f>SUM(C33:AB33)</f>
        <v>27903.79</v>
      </c>
      <c r="AM33" s="385">
        <f>SUM(AC33:AG33)</f>
        <v>2466.0500000000002</v>
      </c>
    </row>
    <row r="34" spans="1:40" x14ac:dyDescent="0.25">
      <c r="A34" s="88" t="s">
        <v>60</v>
      </c>
      <c r="B34" s="89" t="s">
        <v>55</v>
      </c>
      <c r="C34" s="485">
        <v>53.75</v>
      </c>
      <c r="D34" s="387"/>
      <c r="E34" s="485">
        <v>4671.3</v>
      </c>
      <c r="F34" s="485">
        <v>5484.9</v>
      </c>
      <c r="G34" s="485">
        <v>5473.7</v>
      </c>
      <c r="H34" s="485">
        <v>7622.55</v>
      </c>
      <c r="I34" s="485">
        <v>13010.85</v>
      </c>
      <c r="J34" s="485">
        <v>12592.46</v>
      </c>
      <c r="K34" s="485">
        <v>7381.6</v>
      </c>
      <c r="L34" s="485">
        <v>5411.3</v>
      </c>
      <c r="M34" s="485">
        <v>5842.95</v>
      </c>
      <c r="N34" s="485">
        <v>6688.65</v>
      </c>
      <c r="O34" s="485">
        <v>9003.25</v>
      </c>
      <c r="P34" s="485">
        <v>13207.67</v>
      </c>
      <c r="Q34" s="485">
        <v>7561.45</v>
      </c>
      <c r="R34" s="485">
        <v>6347.85</v>
      </c>
      <c r="S34" s="485">
        <v>5044.55</v>
      </c>
      <c r="T34" s="485">
        <v>4090.2</v>
      </c>
      <c r="U34" s="485">
        <v>6119.8</v>
      </c>
      <c r="V34" s="485">
        <v>8495.4</v>
      </c>
      <c r="W34" s="485">
        <v>11637.75</v>
      </c>
      <c r="X34" s="485">
        <v>6784.6</v>
      </c>
      <c r="Y34" s="485">
        <v>2480.85</v>
      </c>
      <c r="Z34" s="485">
        <v>3188.85</v>
      </c>
      <c r="AA34" s="485">
        <v>2332.0500000000002</v>
      </c>
      <c r="AB34" s="485">
        <v>417.25</v>
      </c>
      <c r="AC34" s="532">
        <v>4255</v>
      </c>
      <c r="AD34" s="532">
        <v>5164.04</v>
      </c>
      <c r="AE34" s="532">
        <v>4255.12</v>
      </c>
      <c r="AF34" s="532">
        <v>2568.0500000000002</v>
      </c>
      <c r="AG34" s="532">
        <v>2158.25</v>
      </c>
      <c r="AH34" s="109">
        <f t="shared" ref="AH34:AH38" si="5">SUM(C34:AG34)</f>
        <v>179345.99</v>
      </c>
      <c r="AJ34" s="127" t="s">
        <v>60</v>
      </c>
      <c r="AK34" s="128" t="s">
        <v>198</v>
      </c>
      <c r="AL34" s="288">
        <f>SUM(C34:AB34)-AL45</f>
        <v>155872.91</v>
      </c>
      <c r="AM34" s="289">
        <f>SUM(AC34:AG34)-AM45</f>
        <v>17822.599999999999</v>
      </c>
    </row>
    <row r="35" spans="1:40" x14ac:dyDescent="0.25">
      <c r="A35" s="90" t="s">
        <v>60</v>
      </c>
      <c r="B35" s="91" t="s">
        <v>97</v>
      </c>
      <c r="C35" s="378"/>
      <c r="D35" s="378"/>
      <c r="E35" s="378"/>
      <c r="F35" s="38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9"/>
      <c r="Z35" s="379"/>
      <c r="AA35" s="378"/>
      <c r="AB35" s="378">
        <f>1465+140</f>
        <v>1605</v>
      </c>
      <c r="AC35" s="378"/>
      <c r="AD35" s="378"/>
      <c r="AE35" s="378"/>
      <c r="AF35" s="378"/>
      <c r="AG35" s="378"/>
      <c r="AH35" s="109">
        <f t="shared" si="5"/>
        <v>1605</v>
      </c>
      <c r="AJ35" s="127" t="s">
        <v>60</v>
      </c>
      <c r="AK35" s="128" t="s">
        <v>123</v>
      </c>
      <c r="AL35" s="288">
        <f>SUM(C35:AD35)</f>
        <v>1605</v>
      </c>
      <c r="AM35" s="289">
        <f>SUM(AE35:AG35)</f>
        <v>0</v>
      </c>
    </row>
    <row r="36" spans="1:40" hidden="1" x14ac:dyDescent="0.25">
      <c r="A36" s="90" t="s">
        <v>60</v>
      </c>
      <c r="B36" s="91" t="s">
        <v>98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  <c r="AA36" s="378"/>
      <c r="AB36" s="378"/>
      <c r="AC36" s="378"/>
      <c r="AD36" s="378"/>
      <c r="AE36" s="378"/>
      <c r="AF36" s="378"/>
      <c r="AG36" s="378"/>
      <c r="AH36" s="109">
        <f t="shared" si="5"/>
        <v>0</v>
      </c>
      <c r="AJ36" s="127" t="s">
        <v>60</v>
      </c>
      <c r="AK36" s="128" t="s">
        <v>124</v>
      </c>
      <c r="AL36" s="288"/>
      <c r="AM36" s="386"/>
    </row>
    <row r="37" spans="1:40" ht="16.5" customHeight="1" x14ac:dyDescent="0.25">
      <c r="A37" s="90" t="s">
        <v>67</v>
      </c>
      <c r="B37" s="91" t="s">
        <v>68</v>
      </c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  <c r="Z37" s="378"/>
      <c r="AA37" s="378"/>
      <c r="AB37" s="378"/>
      <c r="AC37" s="378"/>
      <c r="AD37" s="378"/>
      <c r="AE37" s="378"/>
      <c r="AF37" s="378"/>
      <c r="AG37" s="378"/>
      <c r="AH37" s="109">
        <f t="shared" si="5"/>
        <v>0</v>
      </c>
      <c r="AJ37" s="127" t="s">
        <v>67</v>
      </c>
      <c r="AK37" s="128" t="s">
        <v>91</v>
      </c>
      <c r="AL37" s="267">
        <f>AH37</f>
        <v>0</v>
      </c>
      <c r="AM37" s="268"/>
      <c r="AN37" s="263" t="s">
        <v>125</v>
      </c>
    </row>
    <row r="38" spans="1:40" ht="16.5" thickBot="1" x14ac:dyDescent="0.3">
      <c r="A38" s="79" t="s">
        <v>109</v>
      </c>
      <c r="B38" s="92" t="s">
        <v>172</v>
      </c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0"/>
      <c r="O38" s="380"/>
      <c r="P38" s="380"/>
      <c r="Q38" s="380">
        <v>52</v>
      </c>
      <c r="R38" s="380"/>
      <c r="S38" s="380"/>
      <c r="T38" s="380"/>
      <c r="U38" s="380"/>
      <c r="V38" s="380"/>
      <c r="W38" s="380"/>
      <c r="X38" s="380"/>
      <c r="Y38" s="380"/>
      <c r="Z38" s="380"/>
      <c r="AA38" s="380"/>
      <c r="AB38" s="380"/>
      <c r="AC38" s="380"/>
      <c r="AD38" s="380"/>
      <c r="AE38" s="380"/>
      <c r="AF38" s="380"/>
      <c r="AG38" s="380"/>
      <c r="AH38" s="110">
        <f t="shared" si="5"/>
        <v>52</v>
      </c>
      <c r="AJ38" s="127" t="s">
        <v>109</v>
      </c>
      <c r="AK38" s="128" t="s">
        <v>156</v>
      </c>
      <c r="AL38" s="267">
        <f>AH38</f>
        <v>52</v>
      </c>
      <c r="AM38" s="268"/>
    </row>
    <row r="39" spans="1:40" ht="16.5" thickBot="1" x14ac:dyDescent="0.3">
      <c r="A39" s="200"/>
      <c r="B39" s="191" t="s">
        <v>65</v>
      </c>
      <c r="C39" s="105">
        <f t="shared" ref="C39:AG39" si="6">SUM(C33:C38)</f>
        <v>53.75</v>
      </c>
      <c r="D39" s="105">
        <f t="shared" si="6"/>
        <v>25</v>
      </c>
      <c r="E39" s="105">
        <f t="shared" si="6"/>
        <v>5972.85</v>
      </c>
      <c r="F39" s="105">
        <f t="shared" si="6"/>
        <v>6390.65</v>
      </c>
      <c r="G39" s="105">
        <f t="shared" si="6"/>
        <v>6279.2</v>
      </c>
      <c r="H39" s="105">
        <f t="shared" si="6"/>
        <v>9238.2999999999993</v>
      </c>
      <c r="I39" s="105">
        <f t="shared" si="6"/>
        <v>14700.050000000001</v>
      </c>
      <c r="J39" s="105">
        <f t="shared" si="6"/>
        <v>14808.71</v>
      </c>
      <c r="K39" s="105">
        <f t="shared" si="6"/>
        <v>9009.3000000000011</v>
      </c>
      <c r="L39" s="105">
        <f t="shared" si="6"/>
        <v>7043.25</v>
      </c>
      <c r="M39" s="105">
        <f t="shared" si="6"/>
        <v>7088.2</v>
      </c>
      <c r="N39" s="105">
        <f t="shared" si="6"/>
        <v>7373.5499999999993</v>
      </c>
      <c r="O39" s="105">
        <f t="shared" si="6"/>
        <v>10223.65</v>
      </c>
      <c r="P39" s="105">
        <f t="shared" si="6"/>
        <v>15095.42</v>
      </c>
      <c r="Q39" s="105">
        <f t="shared" si="6"/>
        <v>9300.4500000000007</v>
      </c>
      <c r="R39" s="105">
        <f t="shared" si="6"/>
        <v>7148.5</v>
      </c>
      <c r="S39" s="105">
        <f t="shared" si="6"/>
        <v>5862.95</v>
      </c>
      <c r="T39" s="105">
        <f t="shared" si="6"/>
        <v>4866.5</v>
      </c>
      <c r="U39" s="105">
        <f t="shared" si="6"/>
        <v>7043.05</v>
      </c>
      <c r="V39" s="105">
        <f t="shared" si="6"/>
        <v>9272.9</v>
      </c>
      <c r="W39" s="105">
        <f t="shared" si="6"/>
        <v>13898.55</v>
      </c>
      <c r="X39" s="105">
        <f t="shared" si="6"/>
        <v>7790.2000000000007</v>
      </c>
      <c r="Y39" s="105">
        <f t="shared" si="6"/>
        <v>2852.15</v>
      </c>
      <c r="Z39" s="105">
        <f t="shared" si="6"/>
        <v>3492.35</v>
      </c>
      <c r="AA39" s="105">
        <f t="shared" si="6"/>
        <v>2869.84</v>
      </c>
      <c r="AB39" s="105">
        <f t="shared" si="6"/>
        <v>2807</v>
      </c>
      <c r="AC39" s="105">
        <f t="shared" si="6"/>
        <v>4740.3500000000004</v>
      </c>
      <c r="AD39" s="105">
        <f t="shared" si="6"/>
        <v>6168.49</v>
      </c>
      <c r="AE39" s="105">
        <f t="shared" si="6"/>
        <v>4657.67</v>
      </c>
      <c r="AF39" s="105">
        <f t="shared" si="6"/>
        <v>2925.25</v>
      </c>
      <c r="AG39" s="105">
        <f t="shared" si="6"/>
        <v>2374.75</v>
      </c>
      <c r="AH39" s="108">
        <f>SUM(C39:AG39)</f>
        <v>211372.83</v>
      </c>
      <c r="AI39" s="59"/>
      <c r="AJ39" s="501" t="s">
        <v>76</v>
      </c>
      <c r="AK39" s="502"/>
      <c r="AL39" s="503">
        <f>SUM(AL33:AM38)</f>
        <v>205722.35</v>
      </c>
      <c r="AM39" s="504"/>
      <c r="AN39" s="271">
        <f>AL39-AH39+AL45+AM45+AL43</f>
        <v>-54.689999999982433</v>
      </c>
    </row>
    <row r="40" spans="1:40" x14ac:dyDescent="0.25">
      <c r="A40" s="201"/>
      <c r="B40" s="192" t="s">
        <v>104</v>
      </c>
      <c r="C40" s="72">
        <f>C30</f>
        <v>53.75</v>
      </c>
      <c r="D40" s="72">
        <f t="shared" ref="D40:AG40" si="7">D30</f>
        <v>25</v>
      </c>
      <c r="E40" s="72">
        <f t="shared" si="7"/>
        <v>5972.85</v>
      </c>
      <c r="F40" s="72">
        <f t="shared" si="7"/>
        <v>6390.65</v>
      </c>
      <c r="G40" s="72">
        <f t="shared" si="7"/>
        <v>6279.2</v>
      </c>
      <c r="H40" s="72">
        <f t="shared" si="7"/>
        <v>9240.2999999999993</v>
      </c>
      <c r="I40" s="72">
        <f t="shared" si="7"/>
        <v>14708.05</v>
      </c>
      <c r="J40" s="72">
        <f t="shared" si="7"/>
        <v>14808.71</v>
      </c>
      <c r="K40" s="72">
        <f t="shared" si="7"/>
        <v>9018.7999999999993</v>
      </c>
      <c r="L40" s="72">
        <f t="shared" si="7"/>
        <v>7023.6</v>
      </c>
      <c r="M40" s="72">
        <f t="shared" si="7"/>
        <v>7106.2</v>
      </c>
      <c r="N40" s="72">
        <f t="shared" si="7"/>
        <v>7374.45</v>
      </c>
      <c r="O40" s="72">
        <f t="shared" si="7"/>
        <v>10213.65</v>
      </c>
      <c r="P40" s="72">
        <f t="shared" si="7"/>
        <v>15095.42</v>
      </c>
      <c r="Q40" s="72">
        <f t="shared" si="7"/>
        <v>9297.9</v>
      </c>
      <c r="R40" s="72">
        <f t="shared" si="7"/>
        <v>7148.5</v>
      </c>
      <c r="S40" s="72">
        <f t="shared" si="7"/>
        <v>5862.7</v>
      </c>
      <c r="T40" s="72">
        <f t="shared" si="7"/>
        <v>4863.8999999999996</v>
      </c>
      <c r="U40" s="72">
        <f t="shared" si="7"/>
        <v>7043.05</v>
      </c>
      <c r="V40" s="72">
        <f t="shared" si="7"/>
        <v>9272.9</v>
      </c>
      <c r="W40" s="72">
        <f t="shared" si="7"/>
        <v>13901.05</v>
      </c>
      <c r="X40" s="72">
        <f t="shared" si="7"/>
        <v>7728.9</v>
      </c>
      <c r="Y40" s="72">
        <f t="shared" si="7"/>
        <v>2877.15</v>
      </c>
      <c r="Z40" s="72">
        <f t="shared" si="7"/>
        <v>3492.35</v>
      </c>
      <c r="AA40" s="72">
        <f t="shared" si="7"/>
        <v>2869.5</v>
      </c>
      <c r="AB40" s="72">
        <f t="shared" si="7"/>
        <v>2795</v>
      </c>
      <c r="AC40" s="72">
        <f t="shared" si="7"/>
        <v>4740.3999999999996</v>
      </c>
      <c r="AD40" s="72">
        <f t="shared" si="7"/>
        <v>6168.49</v>
      </c>
      <c r="AE40" s="72">
        <f t="shared" si="7"/>
        <v>4655.82</v>
      </c>
      <c r="AF40" s="72">
        <f t="shared" si="7"/>
        <v>2925.15</v>
      </c>
      <c r="AG40" s="72">
        <f t="shared" si="7"/>
        <v>2364.75</v>
      </c>
      <c r="AH40" s="109">
        <f t="shared" ref="AH40:AH41" si="8">SUM(C40:AG40)</f>
        <v>211318.13999999993</v>
      </c>
      <c r="AJ40" s="59"/>
      <c r="AK40" s="59"/>
    </row>
    <row r="41" spans="1:40" ht="16.5" thickBot="1" x14ac:dyDescent="0.3">
      <c r="A41" s="202"/>
      <c r="B41" s="102" t="s">
        <v>103</v>
      </c>
      <c r="C41" s="131">
        <f>C39-C40</f>
        <v>0</v>
      </c>
      <c r="D41" s="131">
        <f>D39-D40</f>
        <v>0</v>
      </c>
      <c r="E41" s="131">
        <f>E39-E40</f>
        <v>0</v>
      </c>
      <c r="F41" s="131">
        <f t="shared" ref="F41:AG41" si="9">F39-F40</f>
        <v>0</v>
      </c>
      <c r="G41" s="131">
        <f t="shared" si="9"/>
        <v>0</v>
      </c>
      <c r="H41" s="131">
        <f t="shared" si="9"/>
        <v>-2</v>
      </c>
      <c r="I41" s="131">
        <f t="shared" si="9"/>
        <v>-7.999999999998181</v>
      </c>
      <c r="J41" s="131">
        <f t="shared" si="9"/>
        <v>0</v>
      </c>
      <c r="K41" s="131">
        <f t="shared" si="9"/>
        <v>-9.499999999998181</v>
      </c>
      <c r="L41" s="131">
        <f t="shared" si="9"/>
        <v>19.649999999999636</v>
      </c>
      <c r="M41" s="131">
        <f t="shared" si="9"/>
        <v>-18</v>
      </c>
      <c r="N41" s="131">
        <f t="shared" si="9"/>
        <v>-0.9000000000005457</v>
      </c>
      <c r="O41" s="131">
        <f t="shared" si="9"/>
        <v>10</v>
      </c>
      <c r="P41" s="131">
        <f t="shared" si="9"/>
        <v>0</v>
      </c>
      <c r="Q41" s="131">
        <f t="shared" si="9"/>
        <v>2.5500000000010914</v>
      </c>
      <c r="R41" s="131">
        <f t="shared" si="9"/>
        <v>0</v>
      </c>
      <c r="S41" s="131">
        <f t="shared" si="9"/>
        <v>0.25</v>
      </c>
      <c r="T41" s="131">
        <f t="shared" si="9"/>
        <v>2.6000000000003638</v>
      </c>
      <c r="U41" s="131">
        <f t="shared" si="9"/>
        <v>0</v>
      </c>
      <c r="V41" s="131">
        <f t="shared" si="9"/>
        <v>0</v>
      </c>
      <c r="W41" s="131">
        <f t="shared" si="9"/>
        <v>-2.5</v>
      </c>
      <c r="X41" s="131">
        <f t="shared" si="9"/>
        <v>61.300000000001091</v>
      </c>
      <c r="Y41" s="131">
        <f t="shared" si="9"/>
        <v>-25</v>
      </c>
      <c r="Z41" s="131">
        <f t="shared" si="9"/>
        <v>0</v>
      </c>
      <c r="AA41" s="131">
        <f t="shared" si="9"/>
        <v>0.34000000000014552</v>
      </c>
      <c r="AB41" s="131">
        <f t="shared" si="9"/>
        <v>12</v>
      </c>
      <c r="AC41" s="131">
        <f t="shared" si="9"/>
        <v>-4.9999999999272404E-2</v>
      </c>
      <c r="AD41" s="131">
        <f t="shared" si="9"/>
        <v>0</v>
      </c>
      <c r="AE41" s="131">
        <f t="shared" si="9"/>
        <v>1.8500000000003638</v>
      </c>
      <c r="AF41" s="131">
        <f t="shared" si="9"/>
        <v>9.9999999999909051E-2</v>
      </c>
      <c r="AG41" s="131">
        <f t="shared" si="9"/>
        <v>10</v>
      </c>
      <c r="AH41" s="110">
        <f t="shared" si="8"/>
        <v>54.690000000006421</v>
      </c>
      <c r="AJ41" s="375">
        <f>AH39-AH40</f>
        <v>54.690000000060536</v>
      </c>
      <c r="AK41" s="266"/>
      <c r="AL41" s="97"/>
    </row>
    <row r="42" spans="1:40" ht="16.5" thickBot="1" x14ac:dyDescent="0.3">
      <c r="A42" s="93"/>
      <c r="B42" s="94"/>
      <c r="C42" s="95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6"/>
      <c r="AJ42" s="266"/>
      <c r="AK42" s="266"/>
      <c r="AL42" s="97"/>
      <c r="AM42" s="188"/>
      <c r="AN42" s="190"/>
    </row>
    <row r="43" spans="1:40" s="97" customFormat="1" ht="16.5" thickBot="1" x14ac:dyDescent="0.3">
      <c r="A43" s="98"/>
      <c r="B43" s="99" t="s">
        <v>56</v>
      </c>
      <c r="C43" s="112">
        <f t="shared" ref="C43:AG43" si="10">SUM(C3:C28)-SUM(C33:C38)</f>
        <v>0</v>
      </c>
      <c r="D43" s="112">
        <f t="shared" si="10"/>
        <v>0</v>
      </c>
      <c r="E43" s="112">
        <f t="shared" si="10"/>
        <v>0</v>
      </c>
      <c r="F43" s="112">
        <f t="shared" si="10"/>
        <v>0</v>
      </c>
      <c r="G43" s="112">
        <f t="shared" si="10"/>
        <v>0</v>
      </c>
      <c r="H43" s="112">
        <f t="shared" si="10"/>
        <v>2.000000000001819</v>
      </c>
      <c r="I43" s="112">
        <f t="shared" si="10"/>
        <v>7.999999999998181</v>
      </c>
      <c r="J43" s="112">
        <f t="shared" si="10"/>
        <v>0</v>
      </c>
      <c r="K43" s="112">
        <f t="shared" si="10"/>
        <v>9.5</v>
      </c>
      <c r="L43" s="112">
        <f t="shared" si="10"/>
        <v>-19.650000000000546</v>
      </c>
      <c r="M43" s="112">
        <f t="shared" si="10"/>
        <v>18</v>
      </c>
      <c r="N43" s="112">
        <f t="shared" si="10"/>
        <v>0.9000000000005457</v>
      </c>
      <c r="O43" s="112">
        <f t="shared" si="10"/>
        <v>-10</v>
      </c>
      <c r="P43" s="112">
        <f t="shared" si="10"/>
        <v>0</v>
      </c>
      <c r="Q43" s="112">
        <f t="shared" si="10"/>
        <v>-2.5499999999992724</v>
      </c>
      <c r="R43" s="112">
        <f t="shared" si="10"/>
        <v>0</v>
      </c>
      <c r="S43" s="112">
        <f t="shared" si="10"/>
        <v>-0.25</v>
      </c>
      <c r="T43" s="112">
        <f t="shared" si="10"/>
        <v>-2.6000000000012733</v>
      </c>
      <c r="U43" s="112">
        <f t="shared" si="10"/>
        <v>0</v>
      </c>
      <c r="V43" s="112">
        <f t="shared" si="10"/>
        <v>0</v>
      </c>
      <c r="W43" s="112">
        <f t="shared" si="10"/>
        <v>2.5</v>
      </c>
      <c r="X43" s="112">
        <f t="shared" si="10"/>
        <v>-61.300000000001091</v>
      </c>
      <c r="Y43" s="112">
        <f t="shared" si="10"/>
        <v>25</v>
      </c>
      <c r="Z43" s="112">
        <f t="shared" si="10"/>
        <v>0</v>
      </c>
      <c r="AA43" s="112">
        <f t="shared" si="10"/>
        <v>-0.34000000000014552</v>
      </c>
      <c r="AB43" s="112">
        <f t="shared" si="10"/>
        <v>-12</v>
      </c>
      <c r="AC43" s="112">
        <f t="shared" si="10"/>
        <v>4.9999999999272404E-2</v>
      </c>
      <c r="AD43" s="112">
        <f t="shared" si="10"/>
        <v>0</v>
      </c>
      <c r="AE43" s="112">
        <f t="shared" si="10"/>
        <v>-1.8499999999994543</v>
      </c>
      <c r="AF43" s="112">
        <f t="shared" si="10"/>
        <v>-9.9999999999909051E-2</v>
      </c>
      <c r="AG43" s="112">
        <f t="shared" si="10"/>
        <v>-10</v>
      </c>
      <c r="AH43" s="113">
        <f>SUM(C43:AG43)</f>
        <v>-54.690000000001874</v>
      </c>
      <c r="AI43" s="62"/>
      <c r="AJ43" s="209" t="s">
        <v>32</v>
      </c>
      <c r="AK43" s="210" t="s">
        <v>90</v>
      </c>
      <c r="AL43" s="269">
        <f>AH43</f>
        <v>-54.690000000001874</v>
      </c>
      <c r="AM43" s="270"/>
      <c r="AN43" s="272" t="s">
        <v>126</v>
      </c>
    </row>
    <row r="44" spans="1:40" s="100" customFormat="1" ht="16.5" thickBot="1" x14ac:dyDescent="0.3">
      <c r="A44" s="222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4"/>
      <c r="AI44" s="62"/>
      <c r="AJ44" s="222"/>
      <c r="AK44" s="223"/>
      <c r="AL44" s="97"/>
      <c r="AM44" s="477">
        <f>AL39+AL43+AM43+AL45+AM45</f>
        <v>211318.13999999998</v>
      </c>
      <c r="AN44" s="100">
        <f>AM44-AH29</f>
        <v>0</v>
      </c>
    </row>
    <row r="45" spans="1:40" s="97" customFormat="1" ht="16.5" thickBot="1" x14ac:dyDescent="0.3">
      <c r="A45" s="209" t="s">
        <v>196</v>
      </c>
      <c r="B45" s="99" t="s">
        <v>195</v>
      </c>
      <c r="C45" s="486">
        <v>1.67</v>
      </c>
      <c r="D45" s="210"/>
      <c r="E45" s="486">
        <v>163.41</v>
      </c>
      <c r="F45" s="486">
        <v>171.55</v>
      </c>
      <c r="G45" s="486">
        <v>170.61</v>
      </c>
      <c r="H45" s="486">
        <v>237.6</v>
      </c>
      <c r="I45" s="486">
        <v>408.86</v>
      </c>
      <c r="J45" s="486">
        <v>394.26</v>
      </c>
      <c r="K45" s="486">
        <v>237.04</v>
      </c>
      <c r="L45" s="486">
        <v>168.69</v>
      </c>
      <c r="M45" s="486">
        <v>182.14</v>
      </c>
      <c r="N45" s="486">
        <v>208.57</v>
      </c>
      <c r="O45" s="486">
        <v>282.52</v>
      </c>
      <c r="P45" s="486">
        <v>413.42</v>
      </c>
      <c r="Q45" s="486">
        <v>236.73</v>
      </c>
      <c r="R45" s="486">
        <v>197.92</v>
      </c>
      <c r="S45" s="486">
        <v>160.47999999999999</v>
      </c>
      <c r="T45" s="486">
        <v>127.53</v>
      </c>
      <c r="U45" s="486">
        <v>191.95</v>
      </c>
      <c r="V45" s="486">
        <v>266.08</v>
      </c>
      <c r="W45" s="486">
        <v>362.83</v>
      </c>
      <c r="X45" s="486">
        <v>211.55</v>
      </c>
      <c r="Y45" s="486">
        <v>78.959999999999994</v>
      </c>
      <c r="Z45" s="486">
        <v>107.43</v>
      </c>
      <c r="AA45" s="486">
        <v>76.319999999999993</v>
      </c>
      <c r="AB45" s="492">
        <v>14.5</v>
      </c>
      <c r="AC45" s="531">
        <v>132.77000000000001</v>
      </c>
      <c r="AD45" s="531">
        <v>162.62</v>
      </c>
      <c r="AE45" s="531">
        <v>135.11000000000001</v>
      </c>
      <c r="AF45" s="531">
        <v>80.069999999999993</v>
      </c>
      <c r="AG45" s="533">
        <v>67.290000000000006</v>
      </c>
      <c r="AH45" s="113">
        <f t="shared" ref="AH45" si="11">SUM(C45:AG45)</f>
        <v>5650.4800000000005</v>
      </c>
      <c r="AI45" s="62"/>
      <c r="AJ45" s="209" t="s">
        <v>196</v>
      </c>
      <c r="AK45" s="210" t="s">
        <v>197</v>
      </c>
      <c r="AL45" s="269">
        <f>SUM(C45:AB45)</f>
        <v>5072.6200000000008</v>
      </c>
      <c r="AM45" s="270">
        <f>SUM(AC45:AG45)</f>
        <v>577.86</v>
      </c>
      <c r="AN45" s="272"/>
    </row>
    <row r="46" spans="1:40" s="100" customFormat="1" ht="16.5" thickBot="1" x14ac:dyDescent="0.3">
      <c r="A46" s="222"/>
      <c r="B46" s="223" t="s">
        <v>232</v>
      </c>
      <c r="C46" s="481">
        <f>C34-C45</f>
        <v>52.08</v>
      </c>
      <c r="D46" s="481">
        <f t="shared" ref="D46:AG46" si="12">D34-D45</f>
        <v>0</v>
      </c>
      <c r="E46" s="481">
        <f t="shared" si="12"/>
        <v>4507.8900000000003</v>
      </c>
      <c r="F46" s="481">
        <f t="shared" si="12"/>
        <v>5313.3499999999995</v>
      </c>
      <c r="G46" s="481">
        <f t="shared" si="12"/>
        <v>5303.09</v>
      </c>
      <c r="H46" s="481">
        <f t="shared" si="12"/>
        <v>7384.95</v>
      </c>
      <c r="I46" s="481">
        <f t="shared" si="12"/>
        <v>12601.99</v>
      </c>
      <c r="J46" s="481">
        <f t="shared" si="12"/>
        <v>12198.199999999999</v>
      </c>
      <c r="K46" s="481">
        <f t="shared" si="12"/>
        <v>7144.56</v>
      </c>
      <c r="L46" s="481">
        <f t="shared" si="12"/>
        <v>5242.6100000000006</v>
      </c>
      <c r="M46" s="481">
        <f t="shared" si="12"/>
        <v>5660.8099999999995</v>
      </c>
      <c r="N46" s="481">
        <f t="shared" si="12"/>
        <v>6480.08</v>
      </c>
      <c r="O46" s="481">
        <f t="shared" si="12"/>
        <v>8720.73</v>
      </c>
      <c r="P46" s="481">
        <f t="shared" si="12"/>
        <v>12794.25</v>
      </c>
      <c r="Q46" s="481">
        <f t="shared" si="12"/>
        <v>7324.72</v>
      </c>
      <c r="R46" s="481">
        <f t="shared" si="12"/>
        <v>6149.93</v>
      </c>
      <c r="S46" s="481">
        <f t="shared" si="12"/>
        <v>4884.0700000000006</v>
      </c>
      <c r="T46" s="481">
        <f t="shared" si="12"/>
        <v>3962.6699999999996</v>
      </c>
      <c r="U46" s="481">
        <f t="shared" si="12"/>
        <v>5927.85</v>
      </c>
      <c r="V46" s="481">
        <f t="shared" si="12"/>
        <v>8229.32</v>
      </c>
      <c r="W46" s="481">
        <f t="shared" si="12"/>
        <v>11274.92</v>
      </c>
      <c r="X46" s="481">
        <f t="shared" si="12"/>
        <v>6573.05</v>
      </c>
      <c r="Y46" s="481">
        <f t="shared" si="12"/>
        <v>2401.89</v>
      </c>
      <c r="Z46" s="481">
        <f t="shared" si="12"/>
        <v>3081.42</v>
      </c>
      <c r="AA46" s="481">
        <f t="shared" si="12"/>
        <v>2255.73</v>
      </c>
      <c r="AB46" s="481">
        <f t="shared" si="12"/>
        <v>402.75</v>
      </c>
      <c r="AC46" s="481">
        <f t="shared" si="12"/>
        <v>4122.2299999999996</v>
      </c>
      <c r="AD46" s="481">
        <f t="shared" si="12"/>
        <v>5001.42</v>
      </c>
      <c r="AE46" s="481">
        <f t="shared" si="12"/>
        <v>4120.01</v>
      </c>
      <c r="AF46" s="481">
        <f t="shared" si="12"/>
        <v>2487.98</v>
      </c>
      <c r="AG46" s="481">
        <f t="shared" si="12"/>
        <v>2090.96</v>
      </c>
      <c r="AH46" s="224"/>
      <c r="AI46" s="62"/>
      <c r="AJ46" s="222"/>
      <c r="AK46" s="223"/>
      <c r="AL46" s="97"/>
    </row>
    <row r="47" spans="1:40" x14ac:dyDescent="0.25">
      <c r="A47" s="124"/>
      <c r="B47" s="211" t="s">
        <v>57</v>
      </c>
      <c r="C47" s="82">
        <v>2</v>
      </c>
      <c r="D47" s="82"/>
      <c r="E47" s="82">
        <v>254</v>
      </c>
      <c r="F47" s="82">
        <v>278</v>
      </c>
      <c r="G47" s="82">
        <v>331</v>
      </c>
      <c r="H47" s="82">
        <v>388</v>
      </c>
      <c r="I47" s="82">
        <v>653</v>
      </c>
      <c r="J47" s="82">
        <v>621</v>
      </c>
      <c r="K47" s="82">
        <v>467</v>
      </c>
      <c r="L47" s="82">
        <v>310</v>
      </c>
      <c r="M47" s="82">
        <v>305</v>
      </c>
      <c r="N47" s="82">
        <v>298</v>
      </c>
      <c r="O47" s="82">
        <v>466</v>
      </c>
      <c r="P47" s="82">
        <v>682</v>
      </c>
      <c r="Q47" s="82">
        <v>470</v>
      </c>
      <c r="R47" s="82">
        <v>316</v>
      </c>
      <c r="S47" s="82">
        <v>265</v>
      </c>
      <c r="T47" s="82">
        <v>211</v>
      </c>
      <c r="U47" s="82">
        <v>295</v>
      </c>
      <c r="V47" s="82">
        <v>451</v>
      </c>
      <c r="W47" s="82">
        <v>607</v>
      </c>
      <c r="X47" s="82">
        <v>363</v>
      </c>
      <c r="Y47" s="82">
        <v>104</v>
      </c>
      <c r="Z47" s="82">
        <v>82</v>
      </c>
      <c r="AA47" s="82">
        <v>122</v>
      </c>
      <c r="AB47" s="82">
        <v>123</v>
      </c>
      <c r="AC47" s="82">
        <v>204</v>
      </c>
      <c r="AD47" s="82">
        <v>287</v>
      </c>
      <c r="AE47" s="82">
        <v>161</v>
      </c>
      <c r="AF47" s="82">
        <v>84</v>
      </c>
      <c r="AG47" s="82">
        <v>66</v>
      </c>
      <c r="AH47" s="101">
        <f>SUM(C47:AG47)</f>
        <v>9266</v>
      </c>
      <c r="AJ47" s="124">
        <f>AH47</f>
        <v>9266</v>
      </c>
      <c r="AK47" s="216" t="s">
        <v>57</v>
      </c>
      <c r="AL47" s="100"/>
      <c r="AM47" s="100"/>
      <c r="AN47" s="100"/>
    </row>
    <row r="48" spans="1:40" ht="16.5" thickBot="1" x14ac:dyDescent="0.3">
      <c r="A48" s="133"/>
      <c r="B48" s="212" t="s">
        <v>58</v>
      </c>
      <c r="C48" s="92"/>
      <c r="D48" s="92"/>
      <c r="E48" s="92">
        <v>37</v>
      </c>
      <c r="F48" s="92">
        <v>56</v>
      </c>
      <c r="G48" s="92">
        <v>53</v>
      </c>
      <c r="H48" s="92">
        <v>67</v>
      </c>
      <c r="I48" s="92">
        <v>52</v>
      </c>
      <c r="J48" s="92">
        <v>123</v>
      </c>
      <c r="K48" s="92">
        <v>60</v>
      </c>
      <c r="L48" s="92">
        <v>40</v>
      </c>
      <c r="M48" s="92">
        <v>55</v>
      </c>
      <c r="N48" s="92">
        <v>49</v>
      </c>
      <c r="O48" s="92">
        <v>81</v>
      </c>
      <c r="P48" s="92">
        <v>77</v>
      </c>
      <c r="Q48" s="92">
        <v>115</v>
      </c>
      <c r="R48" s="92">
        <v>59</v>
      </c>
      <c r="S48" s="92">
        <v>46</v>
      </c>
      <c r="T48" s="92">
        <v>43</v>
      </c>
      <c r="U48" s="92">
        <v>57</v>
      </c>
      <c r="V48" s="92">
        <v>75</v>
      </c>
      <c r="W48" s="92">
        <v>80</v>
      </c>
      <c r="X48" s="92">
        <v>66</v>
      </c>
      <c r="Y48" s="92">
        <v>56</v>
      </c>
      <c r="Z48" s="92">
        <v>42</v>
      </c>
      <c r="AA48" s="92">
        <v>58</v>
      </c>
      <c r="AB48" s="92">
        <v>39</v>
      </c>
      <c r="AC48" s="92">
        <v>47</v>
      </c>
      <c r="AD48" s="92">
        <v>74</v>
      </c>
      <c r="AE48" s="92">
        <v>80</v>
      </c>
      <c r="AF48" s="92">
        <v>43</v>
      </c>
      <c r="AG48" s="92">
        <v>39</v>
      </c>
      <c r="AH48" s="103">
        <f>SUM(C48:AG48)</f>
        <v>1769</v>
      </c>
      <c r="AJ48" s="133">
        <f>AH48</f>
        <v>1769</v>
      </c>
      <c r="AK48" s="217" t="s">
        <v>58</v>
      </c>
    </row>
    <row r="49" spans="1:37" ht="16.5" thickBot="1" x14ac:dyDescent="0.3">
      <c r="A49" s="221"/>
      <c r="B49" s="225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6"/>
      <c r="AJ49" s="221"/>
      <c r="AK49" s="225"/>
    </row>
    <row r="50" spans="1:37" ht="16.5" thickBot="1" x14ac:dyDescent="0.3">
      <c r="A50" s="209"/>
      <c r="B50" s="210" t="s">
        <v>106</v>
      </c>
      <c r="C50" s="210">
        <f>C47+C48</f>
        <v>2</v>
      </c>
      <c r="D50" s="210">
        <f t="shared" ref="D50:AG50" si="13">D47+D48</f>
        <v>0</v>
      </c>
      <c r="E50" s="210">
        <f t="shared" si="13"/>
        <v>291</v>
      </c>
      <c r="F50" s="210">
        <f t="shared" si="13"/>
        <v>334</v>
      </c>
      <c r="G50" s="210">
        <f t="shared" si="13"/>
        <v>384</v>
      </c>
      <c r="H50" s="210">
        <f t="shared" si="13"/>
        <v>455</v>
      </c>
      <c r="I50" s="210">
        <f t="shared" si="13"/>
        <v>705</v>
      </c>
      <c r="J50" s="210">
        <f t="shared" si="13"/>
        <v>744</v>
      </c>
      <c r="K50" s="210">
        <f t="shared" si="13"/>
        <v>527</v>
      </c>
      <c r="L50" s="210">
        <f t="shared" si="13"/>
        <v>350</v>
      </c>
      <c r="M50" s="210">
        <f t="shared" si="13"/>
        <v>360</v>
      </c>
      <c r="N50" s="210">
        <f t="shared" si="13"/>
        <v>347</v>
      </c>
      <c r="O50" s="210">
        <f t="shared" si="13"/>
        <v>547</v>
      </c>
      <c r="P50" s="210">
        <f t="shared" si="13"/>
        <v>759</v>
      </c>
      <c r="Q50" s="210">
        <f t="shared" si="13"/>
        <v>585</v>
      </c>
      <c r="R50" s="210">
        <f t="shared" si="13"/>
        <v>375</v>
      </c>
      <c r="S50" s="210">
        <f t="shared" si="13"/>
        <v>311</v>
      </c>
      <c r="T50" s="210">
        <f t="shared" si="13"/>
        <v>254</v>
      </c>
      <c r="U50" s="210">
        <f t="shared" si="13"/>
        <v>352</v>
      </c>
      <c r="V50" s="210">
        <f t="shared" si="13"/>
        <v>526</v>
      </c>
      <c r="W50" s="210">
        <f t="shared" si="13"/>
        <v>687</v>
      </c>
      <c r="X50" s="210">
        <f t="shared" si="13"/>
        <v>429</v>
      </c>
      <c r="Y50" s="210">
        <f t="shared" si="13"/>
        <v>160</v>
      </c>
      <c r="Z50" s="210">
        <f t="shared" si="13"/>
        <v>124</v>
      </c>
      <c r="AA50" s="210">
        <f t="shared" si="13"/>
        <v>180</v>
      </c>
      <c r="AB50" s="210">
        <f t="shared" si="13"/>
        <v>162</v>
      </c>
      <c r="AC50" s="210">
        <f t="shared" si="13"/>
        <v>251</v>
      </c>
      <c r="AD50" s="210">
        <f t="shared" si="13"/>
        <v>361</v>
      </c>
      <c r="AE50" s="210">
        <f t="shared" si="13"/>
        <v>241</v>
      </c>
      <c r="AF50" s="210">
        <f t="shared" si="13"/>
        <v>127</v>
      </c>
      <c r="AG50" s="279">
        <f t="shared" si="13"/>
        <v>105</v>
      </c>
      <c r="AH50" s="278">
        <f>SUM(C50:AG50)</f>
        <v>11035</v>
      </c>
      <c r="AJ50" s="209">
        <f>AH50</f>
        <v>11035</v>
      </c>
      <c r="AK50" s="218" t="s">
        <v>106</v>
      </c>
    </row>
    <row r="51" spans="1:37" ht="16.5" thickBot="1" x14ac:dyDescent="0.3">
      <c r="A51" s="222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/>
      <c r="AJ51" s="223"/>
      <c r="AK51" s="223"/>
    </row>
    <row r="52" spans="1:37" ht="16.5" thickBot="1" x14ac:dyDescent="0.3">
      <c r="A52" s="209"/>
      <c r="B52" s="210" t="s">
        <v>105</v>
      </c>
      <c r="C52" s="213">
        <f>IF(C50&lt;=1,0,IF(C50&gt;=0,(SUM(C4+C5)/C50)))</f>
        <v>0</v>
      </c>
      <c r="D52" s="213">
        <f t="shared" ref="D52:AG52" si="14">IF(D50&lt;=1,0,IF(D50&gt;=0,(SUM(D4+D5)/D50)))</f>
        <v>0</v>
      </c>
      <c r="E52" s="213">
        <f t="shared" si="14"/>
        <v>15.74295532646048</v>
      </c>
      <c r="F52" s="213">
        <f t="shared" si="14"/>
        <v>14.546107784431136</v>
      </c>
      <c r="G52" s="213">
        <f t="shared" si="14"/>
        <v>14.531770833333333</v>
      </c>
      <c r="H52" s="213">
        <f t="shared" si="14"/>
        <v>16.190769230769231</v>
      </c>
      <c r="I52" s="213">
        <f t="shared" si="14"/>
        <v>18.276312056737588</v>
      </c>
      <c r="J52" s="213">
        <f t="shared" si="14"/>
        <v>15.166129032258064</v>
      </c>
      <c r="K52" s="213">
        <f t="shared" si="14"/>
        <v>13.796584440227704</v>
      </c>
      <c r="L52" s="213">
        <f t="shared" si="14"/>
        <v>16.803428571428572</v>
      </c>
      <c r="M52" s="213">
        <f t="shared" si="14"/>
        <v>15.847777777777777</v>
      </c>
      <c r="N52" s="213">
        <f t="shared" si="14"/>
        <v>16.918731988472622</v>
      </c>
      <c r="O52" s="213">
        <f t="shared" si="14"/>
        <v>15.777696526508226</v>
      </c>
      <c r="P52" s="213">
        <f t="shared" si="14"/>
        <v>17.67957839262187</v>
      </c>
      <c r="Q52" s="213">
        <f t="shared" si="14"/>
        <v>14.254700854700856</v>
      </c>
      <c r="R52" s="213">
        <f t="shared" si="14"/>
        <v>16.458666666666666</v>
      </c>
      <c r="S52" s="213">
        <f t="shared" si="14"/>
        <v>15.772347266881029</v>
      </c>
      <c r="T52" s="213">
        <f t="shared" si="14"/>
        <v>16.332283464566927</v>
      </c>
      <c r="U52" s="213">
        <f t="shared" si="14"/>
        <v>14.593181818181819</v>
      </c>
      <c r="V52" s="213">
        <f t="shared" si="14"/>
        <v>16.638783269961976</v>
      </c>
      <c r="W52" s="213">
        <f t="shared" si="14"/>
        <v>18.186026200873361</v>
      </c>
      <c r="X52" s="213">
        <f t="shared" si="14"/>
        <v>15.203729603729602</v>
      </c>
      <c r="Y52" s="213">
        <f t="shared" si="14"/>
        <v>12.14</v>
      </c>
      <c r="Z52" s="213">
        <f t="shared" si="14"/>
        <v>11.480645161290322</v>
      </c>
      <c r="AA52" s="213">
        <f t="shared" si="14"/>
        <v>10.888888888888889</v>
      </c>
      <c r="AB52" s="213">
        <f t="shared" si="14"/>
        <v>14.17283950617284</v>
      </c>
      <c r="AC52" s="213">
        <f t="shared" si="14"/>
        <v>13.295617529880477</v>
      </c>
      <c r="AD52" s="213">
        <f t="shared" si="14"/>
        <v>14.116343490304709</v>
      </c>
      <c r="AE52" s="213">
        <f t="shared" si="14"/>
        <v>13.262240663900414</v>
      </c>
      <c r="AF52" s="213">
        <f t="shared" si="14"/>
        <v>12.554330708661418</v>
      </c>
      <c r="AG52" s="213">
        <f t="shared" si="14"/>
        <v>12.895238095238096</v>
      </c>
      <c r="AH52" s="278">
        <f>IFERROR(AVERAGEIF(C52:AG52, "&lt;&gt;0"),)</f>
        <v>14.949093281066416</v>
      </c>
      <c r="AJ52" s="219">
        <f>AH52</f>
        <v>14.949093281066416</v>
      </c>
      <c r="AK52" s="220" t="s">
        <v>107</v>
      </c>
    </row>
    <row r="53" spans="1:37" ht="16.5" thickBot="1" x14ac:dyDescent="0.3"/>
    <row r="54" spans="1:37" ht="16.5" thickBot="1" x14ac:dyDescent="0.3">
      <c r="A54" s="209"/>
      <c r="B54" s="210" t="s">
        <v>117</v>
      </c>
      <c r="C54" s="240">
        <f>IF(C47&lt;=1,0,IF(C47&gt;=0,(SUM(C4+C5)/C47)))</f>
        <v>0</v>
      </c>
      <c r="D54" s="240">
        <f t="shared" ref="D54:AG54" si="15">IF(D47&lt;=1,0,IF(D47&gt;=0,(SUM(D4+D5)/D47)))</f>
        <v>0</v>
      </c>
      <c r="E54" s="240">
        <f t="shared" si="15"/>
        <v>18.036220472440945</v>
      </c>
      <c r="F54" s="240">
        <f t="shared" si="15"/>
        <v>17.476258992805754</v>
      </c>
      <c r="G54" s="240">
        <f t="shared" si="15"/>
        <v>16.858610271903324</v>
      </c>
      <c r="H54" s="240">
        <f t="shared" si="15"/>
        <v>18.986597938144332</v>
      </c>
      <c r="I54" s="240">
        <f t="shared" si="15"/>
        <v>19.731699846860643</v>
      </c>
      <c r="J54" s="240">
        <f t="shared" si="15"/>
        <v>18.170048309178746</v>
      </c>
      <c r="K54" s="240">
        <f t="shared" si="15"/>
        <v>15.569164882226982</v>
      </c>
      <c r="L54" s="240">
        <f t="shared" si="15"/>
        <v>18.971612903225807</v>
      </c>
      <c r="M54" s="240">
        <f t="shared" si="15"/>
        <v>18.705573770491803</v>
      </c>
      <c r="N54" s="240">
        <f t="shared" si="15"/>
        <v>19.700671140939598</v>
      </c>
      <c r="O54" s="240">
        <f t="shared" si="15"/>
        <v>18.520171673819743</v>
      </c>
      <c r="P54" s="240">
        <f t="shared" si="15"/>
        <v>19.675659824046921</v>
      </c>
      <c r="Q54" s="240">
        <f t="shared" si="15"/>
        <v>17.74255319148936</v>
      </c>
      <c r="R54" s="240">
        <f t="shared" si="15"/>
        <v>19.531645569620252</v>
      </c>
      <c r="S54" s="240">
        <f t="shared" si="15"/>
        <v>18.510188679245282</v>
      </c>
      <c r="T54" s="240">
        <f t="shared" si="15"/>
        <v>19.660663507109003</v>
      </c>
      <c r="U54" s="240">
        <f t="shared" si="15"/>
        <v>17.412881355932203</v>
      </c>
      <c r="V54" s="240">
        <f t="shared" si="15"/>
        <v>19.405764966740577</v>
      </c>
      <c r="W54" s="240">
        <f t="shared" si="15"/>
        <v>20.582866556836901</v>
      </c>
      <c r="X54" s="240">
        <f t="shared" si="15"/>
        <v>17.968044077134984</v>
      </c>
      <c r="Y54" s="240">
        <f t="shared" si="15"/>
        <v>18.676923076923078</v>
      </c>
      <c r="Z54" s="240">
        <f t="shared" si="15"/>
        <v>17.360975609756096</v>
      </c>
      <c r="AA54" s="240">
        <f t="shared" si="15"/>
        <v>16.065573770491802</v>
      </c>
      <c r="AB54" s="240">
        <f t="shared" si="15"/>
        <v>18.666666666666668</v>
      </c>
      <c r="AC54" s="240">
        <f t="shared" si="15"/>
        <v>16.358823529411765</v>
      </c>
      <c r="AD54" s="240">
        <f t="shared" si="15"/>
        <v>17.756097560975611</v>
      </c>
      <c r="AE54" s="240">
        <f t="shared" si="15"/>
        <v>19.852173913043476</v>
      </c>
      <c r="AF54" s="240">
        <f t="shared" si="15"/>
        <v>18.980952380952381</v>
      </c>
      <c r="AG54" s="240">
        <f t="shared" si="15"/>
        <v>20.515151515151516</v>
      </c>
      <c r="AH54" s="277">
        <f>IFERROR(AVERAGEIF(C54:AG54, "&lt;&gt;0"),)</f>
        <v>18.463801239778125</v>
      </c>
      <c r="AI54" s="241"/>
      <c r="AJ54" s="242">
        <f>AH54</f>
        <v>18.463801239778125</v>
      </c>
      <c r="AK54" s="220" t="s">
        <v>118</v>
      </c>
    </row>
    <row r="55" spans="1:37" ht="16.5" thickBot="1" x14ac:dyDescent="0.3"/>
    <row r="56" spans="1:37" ht="16.5" thickBot="1" x14ac:dyDescent="0.3">
      <c r="A56" s="293"/>
      <c r="B56" s="294" t="s">
        <v>130</v>
      </c>
      <c r="C56" s="295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  <c r="AG56" s="295"/>
      <c r="AH56" s="296" t="s">
        <v>131</v>
      </c>
      <c r="AJ56" s="297" t="s">
        <v>131</v>
      </c>
      <c r="AK56" s="298" t="s">
        <v>128</v>
      </c>
    </row>
    <row r="57" spans="1:37" x14ac:dyDescent="0.25">
      <c r="A57" s="88"/>
      <c r="B57" s="299" t="s">
        <v>132</v>
      </c>
      <c r="C57" s="89" t="s">
        <v>236</v>
      </c>
      <c r="D57" s="89" t="s">
        <v>236</v>
      </c>
      <c r="E57" s="89">
        <v>98</v>
      </c>
      <c r="F57" s="89"/>
      <c r="G57" s="89">
        <v>98</v>
      </c>
      <c r="H57" s="89"/>
      <c r="I57" s="89">
        <v>98</v>
      </c>
      <c r="J57" s="89">
        <v>98</v>
      </c>
      <c r="K57" s="89">
        <v>98</v>
      </c>
      <c r="L57" s="89">
        <v>98</v>
      </c>
      <c r="M57" s="89">
        <v>98</v>
      </c>
      <c r="N57" s="89">
        <v>98</v>
      </c>
      <c r="O57" s="89">
        <v>98</v>
      </c>
      <c r="P57" s="89"/>
      <c r="Q57" s="89"/>
      <c r="R57" s="89">
        <v>98</v>
      </c>
      <c r="S57" s="89">
        <v>98</v>
      </c>
      <c r="T57" s="89">
        <v>99</v>
      </c>
      <c r="U57" s="89">
        <v>98</v>
      </c>
      <c r="V57" s="89">
        <v>98</v>
      </c>
      <c r="W57" s="89">
        <v>98</v>
      </c>
      <c r="X57" s="89">
        <v>97</v>
      </c>
      <c r="Y57" s="89">
        <v>98</v>
      </c>
      <c r="Z57" s="89">
        <v>98</v>
      </c>
      <c r="AA57" s="89">
        <v>99</v>
      </c>
      <c r="AB57" s="89">
        <v>98</v>
      </c>
      <c r="AC57" s="89">
        <v>98</v>
      </c>
      <c r="AD57" s="89">
        <v>98</v>
      </c>
      <c r="AE57" s="89">
        <v>97</v>
      </c>
      <c r="AF57" s="89">
        <v>98</v>
      </c>
      <c r="AG57" s="89">
        <v>99</v>
      </c>
      <c r="AH57" s="300">
        <f>IFERROR(AVERAGEIF(C57:AG57,"&lt;&gt;0"),)</f>
        <v>98.04</v>
      </c>
      <c r="AJ57" s="301">
        <f>AH57</f>
        <v>98.04</v>
      </c>
      <c r="AK57" s="302" t="s">
        <v>133</v>
      </c>
    </row>
    <row r="58" spans="1:37" x14ac:dyDescent="0.25">
      <c r="A58" s="88"/>
      <c r="B58" s="299" t="s">
        <v>155</v>
      </c>
      <c r="C58" s="89" t="s">
        <v>236</v>
      </c>
      <c r="D58" s="89" t="s">
        <v>236</v>
      </c>
      <c r="E58" s="89">
        <v>85</v>
      </c>
      <c r="F58" s="89"/>
      <c r="G58" s="89">
        <v>83</v>
      </c>
      <c r="H58" s="89"/>
      <c r="I58" s="89">
        <v>87</v>
      </c>
      <c r="J58" s="89">
        <v>87</v>
      </c>
      <c r="K58" s="89">
        <v>87</v>
      </c>
      <c r="L58" s="89">
        <v>86</v>
      </c>
      <c r="M58" s="89">
        <v>80</v>
      </c>
      <c r="N58" s="89">
        <v>80</v>
      </c>
      <c r="O58" s="89">
        <v>88</v>
      </c>
      <c r="P58" s="89"/>
      <c r="Q58" s="89"/>
      <c r="R58" s="89">
        <v>88</v>
      </c>
      <c r="S58" s="89">
        <v>88</v>
      </c>
      <c r="T58" s="89">
        <v>80</v>
      </c>
      <c r="U58" s="89">
        <v>84</v>
      </c>
      <c r="V58" s="89">
        <v>84</v>
      </c>
      <c r="W58" s="89">
        <v>87</v>
      </c>
      <c r="X58" s="89">
        <v>88</v>
      </c>
      <c r="Y58" s="89">
        <v>87</v>
      </c>
      <c r="Z58" s="89">
        <v>84</v>
      </c>
      <c r="AA58" s="89">
        <v>78</v>
      </c>
      <c r="AB58" s="89">
        <v>72</v>
      </c>
      <c r="AC58" s="89">
        <v>87</v>
      </c>
      <c r="AD58" s="89">
        <v>78</v>
      </c>
      <c r="AE58" s="89">
        <v>90</v>
      </c>
      <c r="AF58" s="89">
        <v>86</v>
      </c>
      <c r="AG58" s="89" t="s">
        <v>236</v>
      </c>
      <c r="AH58" s="300">
        <f t="shared" ref="AH58:AH60" si="16">IFERROR(AVERAGEIF(C58:AG58,"&lt;&gt;0"),)</f>
        <v>84.333333333333329</v>
      </c>
      <c r="AJ58" s="303">
        <f>AH58</f>
        <v>84.333333333333329</v>
      </c>
      <c r="AK58" s="304" t="s">
        <v>134</v>
      </c>
    </row>
    <row r="59" spans="1:37" x14ac:dyDescent="0.25">
      <c r="A59" s="88"/>
      <c r="B59" s="299" t="s">
        <v>135</v>
      </c>
      <c r="C59" s="89" t="s">
        <v>236</v>
      </c>
      <c r="D59" s="89" t="s">
        <v>236</v>
      </c>
      <c r="E59" s="299">
        <v>78</v>
      </c>
      <c r="F59" s="299"/>
      <c r="G59" s="299">
        <v>84</v>
      </c>
      <c r="H59" s="299"/>
      <c r="I59" s="299">
        <v>84</v>
      </c>
      <c r="J59" s="299">
        <v>84</v>
      </c>
      <c r="K59" s="299">
        <v>84</v>
      </c>
      <c r="L59" s="299">
        <v>85</v>
      </c>
      <c r="M59" s="299">
        <v>81</v>
      </c>
      <c r="N59" s="299">
        <v>88</v>
      </c>
      <c r="O59" s="299">
        <v>82</v>
      </c>
      <c r="P59" s="299"/>
      <c r="Q59" s="299"/>
      <c r="R59" s="299">
        <v>83</v>
      </c>
      <c r="S59" s="299">
        <v>84</v>
      </c>
      <c r="T59" s="299">
        <v>82</v>
      </c>
      <c r="U59" s="299">
        <v>84</v>
      </c>
      <c r="V59" s="299">
        <v>84</v>
      </c>
      <c r="W59" s="299">
        <v>84</v>
      </c>
      <c r="X59" s="299">
        <v>84</v>
      </c>
      <c r="Y59" s="299">
        <v>84</v>
      </c>
      <c r="Z59" s="299">
        <v>84</v>
      </c>
      <c r="AA59" s="299">
        <v>81</v>
      </c>
      <c r="AB59" s="299">
        <v>83</v>
      </c>
      <c r="AC59" s="299">
        <v>82</v>
      </c>
      <c r="AD59" s="299">
        <v>81</v>
      </c>
      <c r="AE59" s="299">
        <v>78</v>
      </c>
      <c r="AF59" s="299">
        <v>79</v>
      </c>
      <c r="AG59" s="299">
        <v>78</v>
      </c>
      <c r="AH59" s="300">
        <f t="shared" si="16"/>
        <v>82.6</v>
      </c>
      <c r="AJ59" s="303">
        <f>AH59</f>
        <v>82.6</v>
      </c>
      <c r="AK59" s="304" t="s">
        <v>136</v>
      </c>
    </row>
    <row r="60" spans="1:37" ht="16.5" thickBot="1" x14ac:dyDescent="0.3">
      <c r="A60" s="79"/>
      <c r="B60" s="305" t="s">
        <v>137</v>
      </c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7">
        <f t="shared" si="16"/>
        <v>0</v>
      </c>
      <c r="AJ60" s="308">
        <f>AH60</f>
        <v>0</v>
      </c>
      <c r="AK60" s="80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8"/>
      <c r="B1" s="509"/>
      <c r="C1" s="314" t="s">
        <v>141</v>
      </c>
      <c r="D1" s="315" t="s">
        <v>63</v>
      </c>
      <c r="E1" s="315" t="s">
        <v>35</v>
      </c>
      <c r="F1" s="315" t="s">
        <v>142</v>
      </c>
      <c r="G1" s="315" t="s">
        <v>111</v>
      </c>
      <c r="H1" s="315" t="s">
        <v>78</v>
      </c>
      <c r="I1" s="315" t="s">
        <v>41</v>
      </c>
      <c r="J1" s="316"/>
      <c r="K1" s="317" t="s">
        <v>132</v>
      </c>
      <c r="L1" s="317" t="s">
        <v>143</v>
      </c>
      <c r="M1" s="317" t="s">
        <v>135</v>
      </c>
      <c r="N1" s="316"/>
      <c r="O1" s="317" t="s">
        <v>144</v>
      </c>
    </row>
    <row r="2" spans="1:15" x14ac:dyDescent="0.25">
      <c r="A2" s="318">
        <f>'Cash Flow'!A8</f>
        <v>45200</v>
      </c>
      <c r="B2" s="353" t="str">
        <f>TEXT(A2,"ddd")</f>
        <v>Sun</v>
      </c>
      <c r="C2" s="319">
        <f>TRANSPOSE(Pool!C4:AG4)</f>
        <v>0</v>
      </c>
      <c r="D2" s="319">
        <f t="array" ref="D2:D32">TRANSPOSE(Pool!C9:AG9)</f>
        <v>0</v>
      </c>
      <c r="E2" s="319">
        <f t="array" ref="E2:E32">TRANSPOSE(Pool!C14:AG14)</f>
        <v>4</v>
      </c>
      <c r="F2" s="319">
        <f t="array" ref="F2:F32">TRANSPOSE(Pool!C15:AG15)</f>
        <v>0</v>
      </c>
      <c r="G2" s="319">
        <f t="array" ref="G2:G32">TRANSPOSE(Pool!C16:AG16)</f>
        <v>0</v>
      </c>
      <c r="H2" s="319">
        <f>TRANSPOSE(Pool!C18:AG18)</f>
        <v>0</v>
      </c>
      <c r="I2" s="322">
        <f t="array" ref="I2:I32">TRANSPOSE(Pool!C20:AG20)</f>
        <v>0</v>
      </c>
      <c r="J2" s="325"/>
      <c r="K2" s="326" t="str">
        <f t="array" ref="K2:K32">TRANSPOSE(Pool!C57:AG57)</f>
        <v>closed</v>
      </c>
      <c r="L2" s="329" t="str">
        <f t="array" ref="L2:L32">TRANSPOSE(Pool!C58:AG58)</f>
        <v>closed</v>
      </c>
      <c r="M2" s="332" t="str">
        <f t="array" ref="M2:M32">TRANSPOSE(Pool!C59:AG59)</f>
        <v>closed</v>
      </c>
      <c r="N2" s="325"/>
      <c r="O2" s="336">
        <f t="array" ref="O2:O32">TRANSPOSE(Pool!C50:AG50)</f>
        <v>2</v>
      </c>
    </row>
    <row r="3" spans="1:15" x14ac:dyDescent="0.25">
      <c r="A3" s="339">
        <f t="shared" ref="A3:A32" si="0">SUM(A2+1)</f>
        <v>45201</v>
      </c>
      <c r="B3" s="354" t="str">
        <f>TEXT(A3,"ddd")</f>
        <v>Mon</v>
      </c>
      <c r="C3" s="320">
        <f>TRANSPOSE(Pool!C9:AG9)</f>
        <v>0</v>
      </c>
      <c r="D3" s="320">
        <v>0</v>
      </c>
      <c r="E3" s="320">
        <v>0</v>
      </c>
      <c r="F3" s="320">
        <v>20.68</v>
      </c>
      <c r="G3" s="320">
        <v>0</v>
      </c>
      <c r="H3" s="320">
        <f>TRANSPOSE(Pool!C19:AG19)</f>
        <v>0</v>
      </c>
      <c r="I3" s="323">
        <v>0</v>
      </c>
      <c r="J3" s="325"/>
      <c r="K3" s="327" t="str">
        <v>closed</v>
      </c>
      <c r="L3" s="330" t="str">
        <v>closed</v>
      </c>
      <c r="M3" s="333" t="str">
        <v>closed</v>
      </c>
      <c r="N3" s="325"/>
      <c r="O3" s="337">
        <v>0</v>
      </c>
    </row>
    <row r="4" spans="1:15" x14ac:dyDescent="0.25">
      <c r="A4" s="339">
        <f t="shared" si="0"/>
        <v>45202</v>
      </c>
      <c r="B4" s="354" t="str">
        <f>TEXT(A4,"DDD")</f>
        <v>Tue</v>
      </c>
      <c r="C4" s="320">
        <f>TRANSPOSE(Pool!C5:AG5)</f>
        <v>0</v>
      </c>
      <c r="D4" s="320">
        <v>0</v>
      </c>
      <c r="E4" s="320">
        <v>82</v>
      </c>
      <c r="F4" s="320">
        <v>237.11</v>
      </c>
      <c r="G4" s="320">
        <v>0</v>
      </c>
      <c r="H4" s="320">
        <f>TRANSPOSE(Pool!C21:AG21)</f>
        <v>0</v>
      </c>
      <c r="I4" s="323">
        <v>0</v>
      </c>
      <c r="J4" s="325"/>
      <c r="K4" s="327">
        <v>98</v>
      </c>
      <c r="L4" s="330">
        <v>85</v>
      </c>
      <c r="M4" s="333">
        <v>78</v>
      </c>
      <c r="N4" s="325"/>
      <c r="O4" s="337">
        <v>291</v>
      </c>
    </row>
    <row r="5" spans="1:15" x14ac:dyDescent="0.25">
      <c r="A5" s="339">
        <f t="shared" si="0"/>
        <v>45203</v>
      </c>
      <c r="B5" s="354" t="str">
        <f>TEXT(A5,"ddd")</f>
        <v>Wed</v>
      </c>
      <c r="C5" s="320">
        <f>TRANSPOSE(Pool!C6:AG6)</f>
        <v>0</v>
      </c>
      <c r="D5" s="320">
        <v>0</v>
      </c>
      <c r="E5" s="320">
        <v>16</v>
      </c>
      <c r="F5" s="320">
        <v>242.87</v>
      </c>
      <c r="G5" s="320">
        <v>0</v>
      </c>
      <c r="H5" s="320">
        <f>TRANSPOSE(Pool!C20:AG20)</f>
        <v>0</v>
      </c>
      <c r="I5" s="323">
        <v>0</v>
      </c>
      <c r="J5" s="325"/>
      <c r="K5" s="327">
        <v>0</v>
      </c>
      <c r="L5" s="330">
        <v>0</v>
      </c>
      <c r="M5" s="333">
        <v>0</v>
      </c>
      <c r="N5" s="325"/>
      <c r="O5" s="337">
        <v>334</v>
      </c>
    </row>
    <row r="6" spans="1:15" x14ac:dyDescent="0.25">
      <c r="A6" s="339">
        <f t="shared" si="0"/>
        <v>45204</v>
      </c>
      <c r="B6" s="354" t="str">
        <f>TEXT(A6,"DDD")</f>
        <v>Thu</v>
      </c>
      <c r="C6" s="320">
        <f>TRANSPOSE(Pool!C7:AG7)</f>
        <v>0</v>
      </c>
      <c r="D6" s="320">
        <v>0</v>
      </c>
      <c r="E6" s="320">
        <v>8</v>
      </c>
      <c r="F6" s="320">
        <v>277.62</v>
      </c>
      <c r="G6" s="320">
        <v>0</v>
      </c>
      <c r="H6" s="320">
        <f>TRANSPOSE(Pool!C22:AG22)</f>
        <v>0</v>
      </c>
      <c r="I6" s="323">
        <v>0</v>
      </c>
      <c r="J6" s="325"/>
      <c r="K6" s="327">
        <v>98</v>
      </c>
      <c r="L6" s="330">
        <v>83</v>
      </c>
      <c r="M6" s="333">
        <v>84</v>
      </c>
      <c r="N6" s="325"/>
      <c r="O6" s="337">
        <v>384</v>
      </c>
    </row>
    <row r="7" spans="1:15" x14ac:dyDescent="0.25">
      <c r="A7" s="339">
        <f t="shared" si="0"/>
        <v>45205</v>
      </c>
      <c r="B7" s="354" t="str">
        <f>TEXT(A7,"ddd")</f>
        <v>Fri</v>
      </c>
      <c r="C7" s="320">
        <f>TRANSPOSE(Pool!C8:AG8)</f>
        <v>0</v>
      </c>
      <c r="D7" s="320">
        <v>0</v>
      </c>
      <c r="E7" s="320">
        <v>24</v>
      </c>
      <c r="F7" s="320">
        <v>414.45</v>
      </c>
      <c r="G7" s="320">
        <v>0</v>
      </c>
      <c r="H7" s="320">
        <f>TRANSPOSE(Pool!C23:AG23)</f>
        <v>0</v>
      </c>
      <c r="I7" s="323">
        <v>0</v>
      </c>
      <c r="J7" s="325"/>
      <c r="K7" s="327">
        <v>0</v>
      </c>
      <c r="L7" s="330">
        <v>0</v>
      </c>
      <c r="M7" s="333">
        <v>0</v>
      </c>
      <c r="N7" s="325"/>
      <c r="O7" s="337">
        <v>455</v>
      </c>
    </row>
    <row r="8" spans="1:15" x14ac:dyDescent="0.25">
      <c r="A8" s="339">
        <f t="shared" si="0"/>
        <v>45206</v>
      </c>
      <c r="B8" s="354" t="str">
        <f>TEXT(A8,"DDD")</f>
        <v>Sat</v>
      </c>
      <c r="C8" s="320">
        <f>TRANSPOSE(Pool!C10:AG10)</f>
        <v>0</v>
      </c>
      <c r="D8" s="320">
        <v>0</v>
      </c>
      <c r="E8" s="320">
        <v>40</v>
      </c>
      <c r="F8" s="320">
        <v>790.57</v>
      </c>
      <c r="G8" s="320">
        <v>0</v>
      </c>
      <c r="H8" s="320">
        <f>TRANSPOSE(Pool!C24:AG24)</f>
        <v>0</v>
      </c>
      <c r="I8" s="323">
        <v>0</v>
      </c>
      <c r="J8" s="325"/>
      <c r="K8" s="327">
        <v>98</v>
      </c>
      <c r="L8" s="330">
        <v>87</v>
      </c>
      <c r="M8" s="333">
        <v>84</v>
      </c>
      <c r="N8" s="325"/>
      <c r="O8" s="337">
        <v>705</v>
      </c>
    </row>
    <row r="9" spans="1:15" x14ac:dyDescent="0.25">
      <c r="A9" s="339">
        <f t="shared" si="0"/>
        <v>45207</v>
      </c>
      <c r="B9" s="354" t="str">
        <f>TEXT(A9,"ddd")</f>
        <v>Sun</v>
      </c>
      <c r="C9" s="320">
        <f>TRANSPOSE(Pool!C11:AG11)</f>
        <v>0</v>
      </c>
      <c r="D9" s="320">
        <v>0</v>
      </c>
      <c r="E9" s="320">
        <v>44</v>
      </c>
      <c r="F9" s="320">
        <v>667.83</v>
      </c>
      <c r="G9" s="320">
        <v>0</v>
      </c>
      <c r="H9" s="320">
        <f>TRANSPOSE(Pool!C25:AG25)</f>
        <v>0</v>
      </c>
      <c r="I9" s="323">
        <v>0</v>
      </c>
      <c r="J9" s="325"/>
      <c r="K9" s="327">
        <v>98</v>
      </c>
      <c r="L9" s="330">
        <v>87</v>
      </c>
      <c r="M9" s="334">
        <v>84</v>
      </c>
      <c r="N9" s="325"/>
      <c r="O9" s="337">
        <v>744</v>
      </c>
    </row>
    <row r="10" spans="1:15" x14ac:dyDescent="0.25">
      <c r="A10" s="339">
        <f t="shared" si="0"/>
        <v>45208</v>
      </c>
      <c r="B10" s="354" t="str">
        <f>TEXT(A10,"DDD")</f>
        <v>Mon</v>
      </c>
      <c r="C10" s="320">
        <f>TRANSPOSE(Pool!C12:AG12)</f>
        <v>0</v>
      </c>
      <c r="D10" s="320">
        <v>0</v>
      </c>
      <c r="E10" s="320">
        <v>334</v>
      </c>
      <c r="F10" s="320">
        <v>328.01</v>
      </c>
      <c r="G10" s="320">
        <v>0</v>
      </c>
      <c r="H10" s="320">
        <f>TRANSPOSE(Pool!C26:AG26)</f>
        <v>0</v>
      </c>
      <c r="I10" s="323">
        <v>0</v>
      </c>
      <c r="J10" s="325"/>
      <c r="K10" s="327">
        <v>98</v>
      </c>
      <c r="L10" s="330">
        <v>87</v>
      </c>
      <c r="M10" s="333">
        <v>84</v>
      </c>
      <c r="N10" s="325"/>
      <c r="O10" s="337">
        <v>527</v>
      </c>
    </row>
    <row r="11" spans="1:15" x14ac:dyDescent="0.25">
      <c r="A11" s="339">
        <f t="shared" si="0"/>
        <v>45209</v>
      </c>
      <c r="B11" s="354" t="str">
        <f>TEXT(A11,"ddd")</f>
        <v>Tue</v>
      </c>
      <c r="C11" s="320">
        <f>TRANSPOSE(Pool!C13:AG13)</f>
        <v>0</v>
      </c>
      <c r="D11" s="320">
        <v>0</v>
      </c>
      <c r="E11" s="320">
        <v>308</v>
      </c>
      <c r="F11" s="320">
        <v>129.72999999999999</v>
      </c>
      <c r="G11" s="320">
        <v>0</v>
      </c>
      <c r="H11" s="320">
        <f>TRANSPOSE(Pool!C27:AG27)</f>
        <v>0</v>
      </c>
      <c r="I11" s="323">
        <v>0</v>
      </c>
      <c r="J11" s="325"/>
      <c r="K11" s="327">
        <v>98</v>
      </c>
      <c r="L11" s="330">
        <v>86</v>
      </c>
      <c r="M11" s="333">
        <v>85</v>
      </c>
      <c r="N11" s="325"/>
      <c r="O11" s="337">
        <v>350</v>
      </c>
    </row>
    <row r="12" spans="1:15" x14ac:dyDescent="0.25">
      <c r="A12" s="339">
        <f t="shared" si="0"/>
        <v>45210</v>
      </c>
      <c r="B12" s="354" t="str">
        <f>TEXT(A12,"DDD")</f>
        <v>Wed</v>
      </c>
      <c r="C12" s="320">
        <f>TRANSPOSE(Pool!C14:AG14)</f>
        <v>4</v>
      </c>
      <c r="D12" s="320">
        <v>0</v>
      </c>
      <c r="E12" s="320">
        <v>43</v>
      </c>
      <c r="F12" s="320">
        <v>203.45</v>
      </c>
      <c r="G12" s="320">
        <v>0</v>
      </c>
      <c r="H12" s="320">
        <f>TRANSPOSE(Pool!C28:AG28)</f>
        <v>0</v>
      </c>
      <c r="I12" s="323">
        <v>0</v>
      </c>
      <c r="J12" s="325"/>
      <c r="K12" s="327">
        <v>98</v>
      </c>
      <c r="L12" s="330">
        <v>80</v>
      </c>
      <c r="M12" s="333">
        <v>81</v>
      </c>
      <c r="N12" s="325"/>
      <c r="O12" s="337">
        <v>360</v>
      </c>
    </row>
    <row r="13" spans="1:15" x14ac:dyDescent="0.25">
      <c r="A13" s="339">
        <f t="shared" si="0"/>
        <v>45211</v>
      </c>
      <c r="B13" s="354" t="str">
        <f>TEXT(A13,"ddd")</f>
        <v>Thu</v>
      </c>
      <c r="C13" s="320">
        <f>TRANSPOSE(Pool!C15:AG15)</f>
        <v>0</v>
      </c>
      <c r="D13" s="320">
        <v>0</v>
      </c>
      <c r="E13" s="320">
        <v>12</v>
      </c>
      <c r="F13" s="320">
        <v>336.15</v>
      </c>
      <c r="G13" s="320">
        <v>0</v>
      </c>
      <c r="H13" s="320">
        <f>TRANSPOSE(Pool!C29:AG29)</f>
        <v>9240.3000000000011</v>
      </c>
      <c r="I13" s="323">
        <v>0</v>
      </c>
      <c r="J13" s="325"/>
      <c r="K13" s="327">
        <v>98</v>
      </c>
      <c r="L13" s="330">
        <v>80</v>
      </c>
      <c r="M13" s="333">
        <v>88</v>
      </c>
      <c r="N13" s="325"/>
      <c r="O13" s="337">
        <v>347</v>
      </c>
    </row>
    <row r="14" spans="1:15" x14ac:dyDescent="0.25">
      <c r="A14" s="339">
        <f t="shared" si="0"/>
        <v>45212</v>
      </c>
      <c r="B14" s="354" t="str">
        <f>TEXT(A14,"DDD")</f>
        <v>Fri</v>
      </c>
      <c r="C14" s="320">
        <f>TRANSPOSE(Pool!C16:AG16)</f>
        <v>0</v>
      </c>
      <c r="D14" s="320">
        <v>0</v>
      </c>
      <c r="E14" s="320">
        <v>8</v>
      </c>
      <c r="F14" s="320">
        <v>302.23</v>
      </c>
      <c r="G14" s="320">
        <v>0</v>
      </c>
      <c r="H14" s="320">
        <f>TRANSPOSE(Pool!C30:AG30)</f>
        <v>9240.2999999999993</v>
      </c>
      <c r="I14" s="323">
        <v>0</v>
      </c>
      <c r="J14" s="325"/>
      <c r="K14" s="327">
        <v>98</v>
      </c>
      <c r="L14" s="330">
        <v>88</v>
      </c>
      <c r="M14" s="333">
        <v>82</v>
      </c>
      <c r="N14" s="325"/>
      <c r="O14" s="337">
        <v>547</v>
      </c>
    </row>
    <row r="15" spans="1:15" x14ac:dyDescent="0.25">
      <c r="A15" s="339">
        <f t="shared" si="0"/>
        <v>45213</v>
      </c>
      <c r="B15" s="354" t="str">
        <f>TEXT(A15,"ddd")</f>
        <v>Sat</v>
      </c>
      <c r="C15" s="320">
        <f>TRANSPOSE(Pool!C18:AG18)</f>
        <v>48</v>
      </c>
      <c r="D15" s="320">
        <v>0</v>
      </c>
      <c r="E15" s="320">
        <v>167</v>
      </c>
      <c r="F15" s="320">
        <v>376.96</v>
      </c>
      <c r="G15" s="320">
        <v>0</v>
      </c>
      <c r="H15" s="320">
        <f>TRANSPOSE(Pool!C31:AG31)</f>
        <v>0</v>
      </c>
      <c r="I15" s="323">
        <v>0</v>
      </c>
      <c r="J15" s="325"/>
      <c r="K15" s="327">
        <v>0</v>
      </c>
      <c r="L15" s="330">
        <v>0</v>
      </c>
      <c r="M15" s="333">
        <v>0</v>
      </c>
      <c r="N15" s="325"/>
      <c r="O15" s="337">
        <v>759</v>
      </c>
    </row>
    <row r="16" spans="1:15" x14ac:dyDescent="0.25">
      <c r="A16" s="339">
        <f t="shared" si="0"/>
        <v>45214</v>
      </c>
      <c r="B16" s="354" t="str">
        <f>TEXT(A16,"DDD")</f>
        <v>Sun</v>
      </c>
      <c r="C16" s="320">
        <f>TRANSPOSE(Pool!C19:AG19)</f>
        <v>0</v>
      </c>
      <c r="D16" s="320">
        <v>0</v>
      </c>
      <c r="E16" s="320">
        <v>8</v>
      </c>
      <c r="F16" s="320">
        <v>390.87</v>
      </c>
      <c r="G16" s="320">
        <v>0</v>
      </c>
      <c r="H16" s="320">
        <f>TRANSPOSE(Pool!C32:AG32)</f>
        <v>0</v>
      </c>
      <c r="I16" s="323">
        <v>0</v>
      </c>
      <c r="J16" s="325"/>
      <c r="K16" s="327">
        <v>0</v>
      </c>
      <c r="L16" s="330">
        <v>0</v>
      </c>
      <c r="M16" s="333">
        <v>0</v>
      </c>
      <c r="N16" s="325"/>
      <c r="O16" s="337">
        <v>585</v>
      </c>
    </row>
    <row r="17" spans="1:15" x14ac:dyDescent="0.25">
      <c r="A17" s="339">
        <f t="shared" si="0"/>
        <v>45215</v>
      </c>
      <c r="B17" s="354" t="str">
        <f>TEXT(A17,"ddd")</f>
        <v>Mon</v>
      </c>
      <c r="C17" s="320">
        <f>TRANSPOSE(Pool!C21:AG21)</f>
        <v>0</v>
      </c>
      <c r="D17" s="320">
        <v>0</v>
      </c>
      <c r="E17" s="320">
        <v>12</v>
      </c>
      <c r="F17" s="320">
        <v>244.23</v>
      </c>
      <c r="G17" s="320">
        <v>0</v>
      </c>
      <c r="H17" s="320">
        <f>TRANSPOSE(Pool!C33:AG33)</f>
        <v>1615.75</v>
      </c>
      <c r="I17" s="323">
        <v>0</v>
      </c>
      <c r="J17" s="325"/>
      <c r="K17" s="327">
        <v>98</v>
      </c>
      <c r="L17" s="330">
        <v>88</v>
      </c>
      <c r="M17" s="333">
        <v>83</v>
      </c>
      <c r="N17" s="325"/>
      <c r="O17" s="337">
        <v>375</v>
      </c>
    </row>
    <row r="18" spans="1:15" x14ac:dyDescent="0.25">
      <c r="A18" s="339">
        <f t="shared" si="0"/>
        <v>45216</v>
      </c>
      <c r="B18" s="354" t="str">
        <f>TEXT(A18,"DDD")</f>
        <v>Tue</v>
      </c>
      <c r="C18" s="320">
        <f>TRANSPOSE(Pool!C20:AG20)</f>
        <v>0</v>
      </c>
      <c r="D18" s="320">
        <v>0</v>
      </c>
      <c r="E18" s="320">
        <v>16</v>
      </c>
      <c r="F18" s="320">
        <v>193.25</v>
      </c>
      <c r="G18" s="320">
        <v>0</v>
      </c>
      <c r="H18" s="320">
        <f>TRANSPOSE(Pool!C34:AG34)</f>
        <v>7622.55</v>
      </c>
      <c r="I18" s="323">
        <v>0</v>
      </c>
      <c r="J18" s="325"/>
      <c r="K18" s="327">
        <v>98</v>
      </c>
      <c r="L18" s="330">
        <v>88</v>
      </c>
      <c r="M18" s="333">
        <v>84</v>
      </c>
      <c r="N18" s="325"/>
      <c r="O18" s="337">
        <v>311</v>
      </c>
    </row>
    <row r="19" spans="1:15" x14ac:dyDescent="0.25">
      <c r="A19" s="339">
        <f t="shared" si="0"/>
        <v>45217</v>
      </c>
      <c r="B19" s="354" t="str">
        <f>TEXT(A19,"ddd")</f>
        <v>Wed</v>
      </c>
      <c r="C19" s="320">
        <f>TRANSPOSE(Pool!C22:AG22)</f>
        <v>0</v>
      </c>
      <c r="D19" s="320">
        <v>0</v>
      </c>
      <c r="E19" s="320">
        <v>4</v>
      </c>
      <c r="F19" s="320">
        <v>178.28</v>
      </c>
      <c r="G19" s="320">
        <v>0</v>
      </c>
      <c r="H19" s="320">
        <f>TRANSPOSE(Pool!C35:AG35)</f>
        <v>0</v>
      </c>
      <c r="I19" s="323">
        <v>0</v>
      </c>
      <c r="J19" s="325"/>
      <c r="K19" s="327">
        <v>99</v>
      </c>
      <c r="L19" s="330">
        <v>80</v>
      </c>
      <c r="M19" s="333">
        <v>82</v>
      </c>
      <c r="N19" s="325"/>
      <c r="O19" s="337">
        <v>254</v>
      </c>
    </row>
    <row r="20" spans="1:15" x14ac:dyDescent="0.25">
      <c r="A20" s="339">
        <f t="shared" si="0"/>
        <v>45218</v>
      </c>
      <c r="B20" s="354" t="str">
        <f>TEXT(A20,"DDD")</f>
        <v>Thu</v>
      </c>
      <c r="C20" s="320">
        <f>TRANSPOSE(Pool!C23:AG23)</f>
        <v>0</v>
      </c>
      <c r="D20" s="320">
        <v>0</v>
      </c>
      <c r="E20" s="320">
        <v>4</v>
      </c>
      <c r="F20" s="320">
        <v>300.29000000000002</v>
      </c>
      <c r="G20" s="320">
        <v>0</v>
      </c>
      <c r="H20" s="320">
        <f>TRANSPOSE(Pool!C36:AG36)</f>
        <v>0</v>
      </c>
      <c r="I20" s="323">
        <v>0</v>
      </c>
      <c r="J20" s="325"/>
      <c r="K20" s="327">
        <v>98</v>
      </c>
      <c r="L20" s="330">
        <v>84</v>
      </c>
      <c r="M20" s="333">
        <v>84</v>
      </c>
      <c r="N20" s="325"/>
      <c r="O20" s="337">
        <v>352</v>
      </c>
    </row>
    <row r="21" spans="1:15" x14ac:dyDescent="0.25">
      <c r="A21" s="339">
        <f t="shared" si="0"/>
        <v>45219</v>
      </c>
      <c r="B21" s="354" t="str">
        <f>TEXT(A21,"ddd")</f>
        <v>Fri</v>
      </c>
      <c r="C21" s="320">
        <f>TRANSPOSE(Pool!C24:AG24)</f>
        <v>0</v>
      </c>
      <c r="D21" s="320">
        <v>0</v>
      </c>
      <c r="E21" s="320">
        <v>28</v>
      </c>
      <c r="F21" s="320">
        <v>343.92</v>
      </c>
      <c r="G21" s="320">
        <v>0</v>
      </c>
      <c r="H21" s="320">
        <f>TRANSPOSE(Pool!C37:AG37)</f>
        <v>0</v>
      </c>
      <c r="I21" s="323">
        <v>0</v>
      </c>
      <c r="J21" s="325"/>
      <c r="K21" s="327">
        <v>98</v>
      </c>
      <c r="L21" s="330">
        <v>84</v>
      </c>
      <c r="M21" s="333">
        <v>84</v>
      </c>
      <c r="N21" s="325"/>
      <c r="O21" s="337">
        <v>526</v>
      </c>
    </row>
    <row r="22" spans="1:15" x14ac:dyDescent="0.25">
      <c r="A22" s="339">
        <f t="shared" si="0"/>
        <v>45220</v>
      </c>
      <c r="B22" s="354" t="str">
        <f>TEXT(A22,"DDD")</f>
        <v>Sat</v>
      </c>
      <c r="C22" s="320">
        <f>TRANSPOSE(Pool!C25:AG25)</f>
        <v>0</v>
      </c>
      <c r="D22" s="320">
        <v>0</v>
      </c>
      <c r="E22" s="320">
        <v>24</v>
      </c>
      <c r="F22" s="320">
        <v>671.71</v>
      </c>
      <c r="G22" s="320">
        <v>0</v>
      </c>
      <c r="H22" s="320">
        <f>TRANSPOSE(Pool!C38:AG38)</f>
        <v>0</v>
      </c>
      <c r="I22" s="323">
        <v>0</v>
      </c>
      <c r="J22" s="325"/>
      <c r="K22" s="327">
        <v>98</v>
      </c>
      <c r="L22" s="330">
        <v>87</v>
      </c>
      <c r="M22" s="333">
        <v>84</v>
      </c>
      <c r="N22" s="325"/>
      <c r="O22" s="337">
        <v>687</v>
      </c>
    </row>
    <row r="23" spans="1:15" x14ac:dyDescent="0.25">
      <c r="A23" s="339">
        <f t="shared" si="0"/>
        <v>45221</v>
      </c>
      <c r="B23" s="354" t="str">
        <f>TEXT(A23,"ddd")</f>
        <v>Sun</v>
      </c>
      <c r="C23" s="320">
        <f>TRANSPOSE(Pool!C26:AG26)</f>
        <v>0</v>
      </c>
      <c r="D23" s="320">
        <v>0</v>
      </c>
      <c r="E23" s="320">
        <v>251</v>
      </c>
      <c r="F23" s="320">
        <v>352.05</v>
      </c>
      <c r="G23" s="320">
        <v>0</v>
      </c>
      <c r="H23" s="320">
        <f>TRANSPOSE(Pool!C39:AG39)</f>
        <v>9238.2999999999993</v>
      </c>
      <c r="I23" s="323">
        <v>0</v>
      </c>
      <c r="J23" s="325"/>
      <c r="K23" s="327">
        <v>97</v>
      </c>
      <c r="L23" s="330">
        <v>88</v>
      </c>
      <c r="M23" s="333">
        <v>84</v>
      </c>
      <c r="N23" s="325"/>
      <c r="O23" s="337">
        <v>429</v>
      </c>
    </row>
    <row r="24" spans="1:15" x14ac:dyDescent="0.25">
      <c r="A24" s="339">
        <f t="shared" si="0"/>
        <v>45222</v>
      </c>
      <c r="B24" s="354" t="str">
        <f>TEXT(A24,"DDD")</f>
        <v>Mon</v>
      </c>
      <c r="C24" s="320">
        <f>TRANSPOSE(Pool!C27:AG27)</f>
        <v>0</v>
      </c>
      <c r="D24" s="320">
        <v>0</v>
      </c>
      <c r="E24" s="320">
        <v>0</v>
      </c>
      <c r="F24" s="320">
        <v>176.65</v>
      </c>
      <c r="G24" s="320">
        <v>0</v>
      </c>
      <c r="H24" s="320">
        <f>TRANSPOSE(Pool!C40:AG40)</f>
        <v>9240.2999999999993</v>
      </c>
      <c r="I24" s="323">
        <v>0</v>
      </c>
      <c r="J24" s="325"/>
      <c r="K24" s="327">
        <v>98</v>
      </c>
      <c r="L24" s="330">
        <v>87</v>
      </c>
      <c r="M24" s="333">
        <v>84</v>
      </c>
      <c r="N24" s="325"/>
      <c r="O24" s="337">
        <v>160</v>
      </c>
    </row>
    <row r="25" spans="1:15" x14ac:dyDescent="0.25">
      <c r="A25" s="339">
        <f t="shared" si="0"/>
        <v>45223</v>
      </c>
      <c r="B25" s="354" t="str">
        <f>TEXT(A25,"ddd")</f>
        <v>Tue</v>
      </c>
      <c r="C25" s="320">
        <f>TRANSPOSE(Pool!C28:AG28)</f>
        <v>0</v>
      </c>
      <c r="D25" s="320">
        <v>0</v>
      </c>
      <c r="E25" s="320">
        <v>0</v>
      </c>
      <c r="F25" s="320">
        <v>57.58</v>
      </c>
      <c r="G25" s="320">
        <v>0</v>
      </c>
      <c r="H25" s="320">
        <f>TRANSPOSE(Pool!C41:AG41)</f>
        <v>-2</v>
      </c>
      <c r="I25" s="323">
        <v>0</v>
      </c>
      <c r="J25" s="325"/>
      <c r="K25" s="327">
        <v>98</v>
      </c>
      <c r="L25" s="330">
        <v>84</v>
      </c>
      <c r="M25" s="333">
        <v>84</v>
      </c>
      <c r="N25" s="325"/>
      <c r="O25" s="337">
        <v>124</v>
      </c>
    </row>
    <row r="26" spans="1:15" x14ac:dyDescent="0.25">
      <c r="A26" s="339">
        <f t="shared" si="0"/>
        <v>45224</v>
      </c>
      <c r="B26" s="354" t="str">
        <f>TEXT(A26,"DDD")</f>
        <v>Wed</v>
      </c>
      <c r="C26" s="320">
        <f>TRANSPOSE(Pool!C29:AG29)</f>
        <v>53.75</v>
      </c>
      <c r="D26" s="320">
        <v>0</v>
      </c>
      <c r="E26" s="320">
        <v>4</v>
      </c>
      <c r="F26" s="320">
        <v>174.57</v>
      </c>
      <c r="G26" s="320">
        <v>0</v>
      </c>
      <c r="H26" s="320">
        <f>TRANSPOSE(Pool!C42:AG42)</f>
        <v>0</v>
      </c>
      <c r="I26" s="323">
        <v>0</v>
      </c>
      <c r="J26" s="325"/>
      <c r="K26" s="327">
        <v>99</v>
      </c>
      <c r="L26" s="330">
        <v>78</v>
      </c>
      <c r="M26" s="333">
        <v>81</v>
      </c>
      <c r="N26" s="325"/>
      <c r="O26" s="337">
        <v>180</v>
      </c>
    </row>
    <row r="27" spans="1:15" x14ac:dyDescent="0.25">
      <c r="A27" s="339">
        <f t="shared" si="0"/>
        <v>45225</v>
      </c>
      <c r="B27" s="354" t="str">
        <f>TEXT(A27,"ddd")</f>
        <v>Thu</v>
      </c>
      <c r="C27" s="320">
        <f>TRANSPOSE(Pool!C30:AG30)</f>
        <v>53.75</v>
      </c>
      <c r="D27" s="320">
        <v>0</v>
      </c>
      <c r="E27" s="320">
        <v>4</v>
      </c>
      <c r="F27" s="320">
        <v>117.9</v>
      </c>
      <c r="G27" s="320">
        <v>0</v>
      </c>
      <c r="H27" s="320">
        <f>TRANSPOSE(Pool!C43:AG43)</f>
        <v>2.000000000001819</v>
      </c>
      <c r="I27" s="323">
        <v>0</v>
      </c>
      <c r="J27" s="325"/>
      <c r="K27" s="327">
        <v>98</v>
      </c>
      <c r="L27" s="330">
        <v>72</v>
      </c>
      <c r="M27" s="333">
        <v>83</v>
      </c>
      <c r="N27" s="325"/>
      <c r="O27" s="337">
        <v>162</v>
      </c>
    </row>
    <row r="28" spans="1:15" x14ac:dyDescent="0.25">
      <c r="A28" s="339">
        <f t="shared" si="0"/>
        <v>45226</v>
      </c>
      <c r="B28" s="354" t="str">
        <f>TEXT(A28,"DDD")</f>
        <v>Fri</v>
      </c>
      <c r="C28" s="320">
        <f>TRANSPOSE(Pool!C31:AG31)</f>
        <v>0</v>
      </c>
      <c r="D28" s="320">
        <v>0</v>
      </c>
      <c r="E28" s="320">
        <v>8</v>
      </c>
      <c r="F28" s="320">
        <v>293</v>
      </c>
      <c r="G28" s="320">
        <v>0</v>
      </c>
      <c r="H28" s="320">
        <f>TRANSPOSE(Pool!C44:AG44)</f>
        <v>0</v>
      </c>
      <c r="I28" s="323">
        <v>0</v>
      </c>
      <c r="J28" s="325"/>
      <c r="K28" s="327">
        <v>98</v>
      </c>
      <c r="L28" s="330">
        <v>87</v>
      </c>
      <c r="M28" s="333">
        <v>82</v>
      </c>
      <c r="N28" s="325"/>
      <c r="O28" s="337">
        <v>251</v>
      </c>
    </row>
    <row r="29" spans="1:15" x14ac:dyDescent="0.25">
      <c r="A29" s="339">
        <f t="shared" si="0"/>
        <v>45227</v>
      </c>
      <c r="B29" s="354" t="str">
        <f>TEXT(A29,"ddd")</f>
        <v>Sat</v>
      </c>
      <c r="C29" s="320">
        <f>TRANSPOSE(Pool!C32:AG32)</f>
        <v>0</v>
      </c>
      <c r="D29" s="320">
        <v>0</v>
      </c>
      <c r="E29" s="320">
        <v>0</v>
      </c>
      <c r="F29" s="320">
        <v>313.18</v>
      </c>
      <c r="G29" s="320">
        <v>0</v>
      </c>
      <c r="H29" s="320">
        <f>TRANSPOSE(Pool!C45:AG45)</f>
        <v>237.6</v>
      </c>
      <c r="I29" s="323">
        <v>0</v>
      </c>
      <c r="J29" s="325"/>
      <c r="K29" s="327">
        <v>98</v>
      </c>
      <c r="L29" s="330">
        <v>78</v>
      </c>
      <c r="M29" s="333">
        <v>81</v>
      </c>
      <c r="N29" s="325"/>
      <c r="O29" s="337">
        <v>361</v>
      </c>
    </row>
    <row r="30" spans="1:15" x14ac:dyDescent="0.25">
      <c r="A30" s="339">
        <f t="shared" si="0"/>
        <v>45228</v>
      </c>
      <c r="B30" s="354" t="str">
        <f>TEXT(A30,"ddd")</f>
        <v>Sun</v>
      </c>
      <c r="C30" s="320">
        <f>TRANSPOSE(Pool!C33:AG33)</f>
        <v>0</v>
      </c>
      <c r="D30" s="320">
        <v>0</v>
      </c>
      <c r="E30" s="320">
        <v>24</v>
      </c>
      <c r="F30" s="320">
        <v>157.02000000000001</v>
      </c>
      <c r="G30" s="320">
        <v>0</v>
      </c>
      <c r="H30" s="320">
        <f>TRANSPOSE(Pool!C46:AG46)</f>
        <v>7384.95</v>
      </c>
      <c r="I30" s="323">
        <v>0</v>
      </c>
      <c r="J30" s="325"/>
      <c r="K30" s="327">
        <v>97</v>
      </c>
      <c r="L30" s="330">
        <v>90</v>
      </c>
      <c r="M30" s="333">
        <v>78</v>
      </c>
      <c r="N30" s="325"/>
      <c r="O30" s="337">
        <v>241</v>
      </c>
    </row>
    <row r="31" spans="1:15" x14ac:dyDescent="0.25">
      <c r="A31" s="339">
        <f t="shared" si="0"/>
        <v>45229</v>
      </c>
      <c r="B31" s="354" t="str">
        <f>TEXT(A31,"ddd")</f>
        <v>Mon</v>
      </c>
      <c r="C31" s="320">
        <f>TRANSPOSE(Pool!C34:AG34)</f>
        <v>53.75</v>
      </c>
      <c r="D31" s="320">
        <v>0</v>
      </c>
      <c r="E31" s="320">
        <v>0</v>
      </c>
      <c r="F31" s="320">
        <v>224.83</v>
      </c>
      <c r="G31" s="320">
        <v>0</v>
      </c>
      <c r="H31" s="320">
        <f>TRANSPOSE(Pool!C47:AG47)</f>
        <v>388</v>
      </c>
      <c r="I31" s="323">
        <v>0</v>
      </c>
      <c r="J31" s="325"/>
      <c r="K31" s="327">
        <v>98</v>
      </c>
      <c r="L31" s="330">
        <v>86</v>
      </c>
      <c r="M31" s="333">
        <v>79</v>
      </c>
      <c r="N31" s="325"/>
      <c r="O31" s="337">
        <v>127</v>
      </c>
    </row>
    <row r="32" spans="1:15" ht="15.75" thickBot="1" x14ac:dyDescent="0.3">
      <c r="A32" s="340">
        <f t="shared" si="0"/>
        <v>45230</v>
      </c>
      <c r="B32" s="355" t="str">
        <f>TEXT(A32,"ddd")</f>
        <v>Tue</v>
      </c>
      <c r="C32" s="321">
        <f>TRANSPOSE(Pool!C35:AG35)</f>
        <v>0</v>
      </c>
      <c r="D32" s="321">
        <v>0</v>
      </c>
      <c r="E32" s="321">
        <v>0</v>
      </c>
      <c r="F32" s="321">
        <v>92.76</v>
      </c>
      <c r="G32" s="321">
        <v>0</v>
      </c>
      <c r="H32" s="321">
        <f>TRANSPOSE(Pool!C48:AG48)</f>
        <v>67</v>
      </c>
      <c r="I32" s="324">
        <v>0</v>
      </c>
      <c r="J32" s="325"/>
      <c r="K32" s="328">
        <v>99</v>
      </c>
      <c r="L32" s="331" t="str">
        <v>closed</v>
      </c>
      <c r="M32" s="335">
        <v>78</v>
      </c>
      <c r="N32" s="325"/>
      <c r="O32" s="338">
        <v>105</v>
      </c>
    </row>
    <row r="33" spans="1:15" ht="15.75" thickBot="1" x14ac:dyDescent="0.3">
      <c r="C33" s="208"/>
      <c r="D33" s="208"/>
      <c r="E33" s="208"/>
      <c r="F33" s="208"/>
      <c r="G33" s="208"/>
      <c r="H33" s="208"/>
      <c r="I33" s="208"/>
    </row>
    <row r="34" spans="1:15" ht="15.75" thickBot="1" x14ac:dyDescent="0.3">
      <c r="A34" s="341" t="s">
        <v>76</v>
      </c>
      <c r="B34" s="342"/>
      <c r="C34" s="343">
        <f t="shared" ref="C34:I34" si="1">SUM(C2:C33)</f>
        <v>213.25</v>
      </c>
      <c r="D34" s="343">
        <f t="shared" si="1"/>
        <v>0</v>
      </c>
      <c r="E34" s="343">
        <f t="shared" si="1"/>
        <v>1477</v>
      </c>
      <c r="F34" s="343">
        <f t="shared" si="1"/>
        <v>8609.7499999999982</v>
      </c>
      <c r="G34" s="343">
        <f t="shared" si="1"/>
        <v>0</v>
      </c>
      <c r="H34" s="343">
        <f t="shared" si="1"/>
        <v>54275.049999999996</v>
      </c>
      <c r="I34" s="344">
        <f t="shared" si="1"/>
        <v>0</v>
      </c>
      <c r="J34" s="60"/>
      <c r="K34" s="345">
        <f>Pool!AJ57</f>
        <v>98.04</v>
      </c>
      <c r="L34" s="346">
        <f>Pool!AJ58</f>
        <v>84.333333333333329</v>
      </c>
      <c r="M34" s="347">
        <f>Pool!AJ59</f>
        <v>82.6</v>
      </c>
      <c r="N34" s="100"/>
      <c r="O34" s="348">
        <f>SUM(O2:O33)</f>
        <v>11035</v>
      </c>
    </row>
    <row r="37" spans="1:15" x14ac:dyDescent="0.25">
      <c r="A37" s="349" t="s">
        <v>145</v>
      </c>
      <c r="B37" s="349"/>
      <c r="C37" s="349"/>
      <c r="D37" s="349"/>
      <c r="E37" s="349"/>
    </row>
    <row r="38" spans="1:15" x14ac:dyDescent="0.25">
      <c r="A38" s="349"/>
      <c r="B38" s="349"/>
      <c r="C38" s="349" t="s">
        <v>146</v>
      </c>
      <c r="D38" s="349">
        <v>100</v>
      </c>
      <c r="E38" s="349"/>
    </row>
    <row r="39" spans="1:15" x14ac:dyDescent="0.25">
      <c r="A39" s="349"/>
      <c r="B39" s="350" t="s">
        <v>147</v>
      </c>
      <c r="C39" s="350" t="s">
        <v>148</v>
      </c>
      <c r="D39" s="350">
        <v>-10</v>
      </c>
      <c r="E39" s="349"/>
    </row>
    <row r="40" spans="1:15" x14ac:dyDescent="0.25">
      <c r="A40" s="349"/>
      <c r="B40" s="349"/>
      <c r="C40" s="349"/>
      <c r="D40" s="349">
        <v>90</v>
      </c>
      <c r="E40" s="349"/>
    </row>
    <row r="41" spans="1:15" x14ac:dyDescent="0.25">
      <c r="A41" s="349"/>
      <c r="B41" s="351" t="s">
        <v>149</v>
      </c>
      <c r="C41" s="351" t="s">
        <v>58</v>
      </c>
      <c r="D41" s="351">
        <v>20</v>
      </c>
      <c r="E41" s="349"/>
    </row>
    <row r="42" spans="1:15" x14ac:dyDescent="0.25">
      <c r="A42" s="349"/>
      <c r="B42" s="349"/>
      <c r="C42" s="349"/>
      <c r="D42" s="352">
        <v>110</v>
      </c>
      <c r="E42" s="352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G31" sqref="AG31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68" t="s">
        <v>115</v>
      </c>
      <c r="B1" s="283" t="str">
        <f>'Cash Flow'!C1</f>
        <v>October</v>
      </c>
      <c r="C1" s="226" t="str">
        <f t="array" ref="C1:AG1">TRANSPOSE('Cash Flow'!B8:B38)</f>
        <v>Sun</v>
      </c>
      <c r="D1" s="226" t="str">
        <v>Mon</v>
      </c>
      <c r="E1" s="226" t="str">
        <v>Tue</v>
      </c>
      <c r="F1" s="226" t="str">
        <v>Wed</v>
      </c>
      <c r="G1" s="226" t="str">
        <v>Thu</v>
      </c>
      <c r="H1" s="226" t="str">
        <v>Fri</v>
      </c>
      <c r="I1" s="226" t="str">
        <v>Sat</v>
      </c>
      <c r="J1" s="226" t="str">
        <v>Sun</v>
      </c>
      <c r="K1" s="226" t="str">
        <v>Mon</v>
      </c>
      <c r="L1" s="226" t="str">
        <v>Tue</v>
      </c>
      <c r="M1" s="226" t="str">
        <v>Wed</v>
      </c>
      <c r="N1" s="226" t="str">
        <v>Thu</v>
      </c>
      <c r="O1" s="226" t="str">
        <v>Fri</v>
      </c>
      <c r="P1" s="226" t="str">
        <v>Sat</v>
      </c>
      <c r="Q1" s="226" t="str">
        <v>Sun</v>
      </c>
      <c r="R1" s="226" t="str">
        <v>Mon</v>
      </c>
      <c r="S1" s="226" t="str">
        <v>Tue</v>
      </c>
      <c r="T1" s="226" t="str">
        <v>Wed</v>
      </c>
      <c r="U1" s="226" t="str">
        <v>Thu</v>
      </c>
      <c r="V1" s="226" t="str">
        <v>Fri</v>
      </c>
      <c r="W1" s="226" t="str">
        <v>Sat</v>
      </c>
      <c r="X1" s="226" t="str">
        <v>Sun</v>
      </c>
      <c r="Y1" s="226" t="str">
        <v>Mon</v>
      </c>
      <c r="Z1" s="226" t="str">
        <v>Tue</v>
      </c>
      <c r="AA1" s="226" t="str">
        <v>Wed</v>
      </c>
      <c r="AB1" s="226" t="str">
        <v>Thu</v>
      </c>
      <c r="AC1" s="226" t="str">
        <v>Fri</v>
      </c>
      <c r="AD1" s="226" t="str">
        <v>Sat</v>
      </c>
      <c r="AE1" s="226" t="str">
        <v>Sun</v>
      </c>
      <c r="AF1" s="226" t="str">
        <v>Mon</v>
      </c>
      <c r="AG1" s="226" t="str">
        <v>Tue</v>
      </c>
    </row>
    <row r="2" spans="1:37" ht="16.5" thickBot="1" x14ac:dyDescent="0.3">
      <c r="A2" s="115" t="s">
        <v>66</v>
      </c>
      <c r="B2" s="116" t="s">
        <v>128</v>
      </c>
      <c r="C2" s="104">
        <f>'Cash Flow'!A8</f>
        <v>45200</v>
      </c>
      <c r="D2" s="104">
        <f t="shared" ref="D2:AG2" si="0">C2+1</f>
        <v>45201</v>
      </c>
      <c r="E2" s="104">
        <f t="shared" si="0"/>
        <v>45202</v>
      </c>
      <c r="F2" s="104">
        <f t="shared" si="0"/>
        <v>45203</v>
      </c>
      <c r="G2" s="104">
        <f t="shared" si="0"/>
        <v>45204</v>
      </c>
      <c r="H2" s="104">
        <f t="shared" si="0"/>
        <v>45205</v>
      </c>
      <c r="I2" s="104">
        <f t="shared" si="0"/>
        <v>45206</v>
      </c>
      <c r="J2" s="104">
        <f t="shared" si="0"/>
        <v>45207</v>
      </c>
      <c r="K2" s="104">
        <f t="shared" si="0"/>
        <v>45208</v>
      </c>
      <c r="L2" s="104">
        <f t="shared" si="0"/>
        <v>45209</v>
      </c>
      <c r="M2" s="104">
        <f t="shared" si="0"/>
        <v>45210</v>
      </c>
      <c r="N2" s="104">
        <f t="shared" si="0"/>
        <v>45211</v>
      </c>
      <c r="O2" s="104">
        <f t="shared" si="0"/>
        <v>45212</v>
      </c>
      <c r="P2" s="104">
        <f t="shared" si="0"/>
        <v>45213</v>
      </c>
      <c r="Q2" s="104">
        <f t="shared" si="0"/>
        <v>45214</v>
      </c>
      <c r="R2" s="104">
        <f t="shared" si="0"/>
        <v>45215</v>
      </c>
      <c r="S2" s="104">
        <f t="shared" si="0"/>
        <v>45216</v>
      </c>
      <c r="T2" s="104">
        <f t="shared" si="0"/>
        <v>45217</v>
      </c>
      <c r="U2" s="104">
        <f t="shared" si="0"/>
        <v>45218</v>
      </c>
      <c r="V2" s="104">
        <f t="shared" si="0"/>
        <v>45219</v>
      </c>
      <c r="W2" s="104">
        <f t="shared" si="0"/>
        <v>45220</v>
      </c>
      <c r="X2" s="104">
        <f t="shared" si="0"/>
        <v>45221</v>
      </c>
      <c r="Y2" s="104">
        <f t="shared" si="0"/>
        <v>45222</v>
      </c>
      <c r="Z2" s="104">
        <f t="shared" si="0"/>
        <v>45223</v>
      </c>
      <c r="AA2" s="104">
        <f t="shared" si="0"/>
        <v>45224</v>
      </c>
      <c r="AB2" s="104">
        <f t="shared" si="0"/>
        <v>45225</v>
      </c>
      <c r="AC2" s="104">
        <f t="shared" si="0"/>
        <v>45226</v>
      </c>
      <c r="AD2" s="104">
        <f t="shared" si="0"/>
        <v>45227</v>
      </c>
      <c r="AE2" s="104">
        <f t="shared" si="0"/>
        <v>45228</v>
      </c>
      <c r="AF2" s="104">
        <f t="shared" si="0"/>
        <v>45229</v>
      </c>
      <c r="AG2" s="104">
        <f t="shared" si="0"/>
        <v>45230</v>
      </c>
      <c r="AH2" s="117" t="s">
        <v>59</v>
      </c>
      <c r="AJ2" s="63" t="s">
        <v>66</v>
      </c>
      <c r="AK2" s="64" t="s">
        <v>128</v>
      </c>
    </row>
    <row r="3" spans="1:37" ht="15.75" x14ac:dyDescent="0.25">
      <c r="A3" s="118" t="s">
        <v>61</v>
      </c>
      <c r="B3" s="119" t="s">
        <v>83</v>
      </c>
      <c r="C3" s="111">
        <v>6.57</v>
      </c>
      <c r="D3" s="111">
        <v>16.09</v>
      </c>
      <c r="E3" s="111">
        <v>13.94</v>
      </c>
      <c r="F3" s="111">
        <v>8</v>
      </c>
      <c r="G3" s="111">
        <v>19.059999999999999</v>
      </c>
      <c r="H3" s="111">
        <v>19.489999999999998</v>
      </c>
      <c r="I3" s="111">
        <v>16.72</v>
      </c>
      <c r="J3" s="111">
        <v>17.149999999999999</v>
      </c>
      <c r="K3" s="111">
        <v>12.57</v>
      </c>
      <c r="L3" s="111">
        <v>29.26</v>
      </c>
      <c r="M3" s="111">
        <v>10.17</v>
      </c>
      <c r="N3" s="111">
        <v>14.27</v>
      </c>
      <c r="O3" s="111">
        <v>17.3</v>
      </c>
      <c r="P3" s="111">
        <v>25.98</v>
      </c>
      <c r="Q3" s="111">
        <v>21.53</v>
      </c>
      <c r="R3" s="111">
        <v>15.11</v>
      </c>
      <c r="S3" s="111">
        <v>8.18</v>
      </c>
      <c r="T3" s="111">
        <v>15.8</v>
      </c>
      <c r="U3" s="111">
        <v>9.4700000000000006</v>
      </c>
      <c r="V3" s="111">
        <v>15.55</v>
      </c>
      <c r="W3" s="111">
        <v>41.01</v>
      </c>
      <c r="X3" s="111">
        <v>22.37</v>
      </c>
      <c r="Y3" s="111">
        <v>4.9400000000000004</v>
      </c>
      <c r="Z3" s="111">
        <v>6.67</v>
      </c>
      <c r="AA3" s="111">
        <v>3.33</v>
      </c>
      <c r="AB3" s="111">
        <v>8.75</v>
      </c>
      <c r="AC3" s="111">
        <v>9.8699999999999992</v>
      </c>
      <c r="AD3" s="111">
        <v>12.25</v>
      </c>
      <c r="AE3" s="111"/>
      <c r="AF3" s="111"/>
      <c r="AG3" s="111"/>
      <c r="AH3" s="106">
        <f t="shared" ref="AH3:AH15" si="1">SUM(C3:AG3)</f>
        <v>421.40000000000003</v>
      </c>
      <c r="AJ3" s="158" t="s">
        <v>61</v>
      </c>
      <c r="AK3" s="159" t="s">
        <v>83</v>
      </c>
    </row>
    <row r="4" spans="1:37" ht="15.75" x14ac:dyDescent="0.25">
      <c r="A4" s="120" t="s">
        <v>69</v>
      </c>
      <c r="B4" s="121" t="s">
        <v>70</v>
      </c>
      <c r="C4" s="122">
        <v>1527</v>
      </c>
      <c r="D4" s="122">
        <v>1573</v>
      </c>
      <c r="E4" s="122">
        <v>1238</v>
      </c>
      <c r="F4" s="122">
        <v>1057</v>
      </c>
      <c r="G4" s="122">
        <v>1298</v>
      </c>
      <c r="H4" s="122">
        <v>1246.5</v>
      </c>
      <c r="I4" s="122">
        <v>1863</v>
      </c>
      <c r="J4" s="122">
        <v>1785</v>
      </c>
      <c r="K4" s="122">
        <v>1718</v>
      </c>
      <c r="L4" s="122">
        <v>2426</v>
      </c>
      <c r="M4" s="122">
        <v>2168</v>
      </c>
      <c r="N4" s="122">
        <v>1528</v>
      </c>
      <c r="O4" s="122">
        <v>2880</v>
      </c>
      <c r="P4" s="122">
        <v>3476</v>
      </c>
      <c r="Q4" s="122">
        <v>2739</v>
      </c>
      <c r="R4" s="122">
        <v>1754</v>
      </c>
      <c r="S4" s="122">
        <v>1447</v>
      </c>
      <c r="T4" s="122">
        <v>1694</v>
      </c>
      <c r="U4" s="122">
        <v>1949</v>
      </c>
      <c r="V4" s="122">
        <v>1952</v>
      </c>
      <c r="W4" s="122">
        <v>3254</v>
      </c>
      <c r="X4" s="122">
        <v>2056</v>
      </c>
      <c r="Y4" s="122">
        <v>810</v>
      </c>
      <c r="Z4" s="122">
        <v>637</v>
      </c>
      <c r="AA4" s="122">
        <v>677</v>
      </c>
      <c r="AB4" s="122">
        <v>751</v>
      </c>
      <c r="AC4" s="122">
        <v>1065</v>
      </c>
      <c r="AD4" s="122">
        <v>1136</v>
      </c>
      <c r="AE4" s="122">
        <v>197</v>
      </c>
      <c r="AF4" s="122"/>
      <c r="AG4" s="122"/>
      <c r="AH4" s="106">
        <f t="shared" si="1"/>
        <v>47901.5</v>
      </c>
      <c r="AJ4" s="160" t="s">
        <v>69</v>
      </c>
      <c r="AK4" s="161" t="s">
        <v>70</v>
      </c>
    </row>
    <row r="5" spans="1:37" ht="15.75" x14ac:dyDescent="0.25">
      <c r="A5" s="120" t="s">
        <v>80</v>
      </c>
      <c r="B5" s="121" t="s">
        <v>82</v>
      </c>
      <c r="C5" s="123"/>
      <c r="D5" s="123"/>
      <c r="E5" s="123"/>
      <c r="F5" s="123"/>
      <c r="G5" s="123">
        <v>57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>
        <v>20</v>
      </c>
      <c r="Y5" s="123"/>
      <c r="Z5" s="123">
        <v>90.67</v>
      </c>
      <c r="AA5" s="123"/>
      <c r="AB5" s="123"/>
      <c r="AC5" s="123"/>
      <c r="AD5" s="123"/>
      <c r="AE5" s="123"/>
      <c r="AF5" s="123">
        <v>21</v>
      </c>
      <c r="AG5" s="123"/>
      <c r="AH5" s="106">
        <f>SUM(C5:AG5)</f>
        <v>188.67000000000002</v>
      </c>
      <c r="AJ5" s="160" t="s">
        <v>80</v>
      </c>
      <c r="AK5" s="161" t="s">
        <v>82</v>
      </c>
    </row>
    <row r="6" spans="1:37" ht="15.75" x14ac:dyDescent="0.25">
      <c r="A6" s="120" t="s">
        <v>79</v>
      </c>
      <c r="B6" s="121" t="s">
        <v>201</v>
      </c>
      <c r="C6" s="123">
        <v>69.45</v>
      </c>
      <c r="D6" s="123">
        <v>170.31</v>
      </c>
      <c r="E6" s="123">
        <v>147.08000000000001</v>
      </c>
      <c r="F6" s="123">
        <v>84.49</v>
      </c>
      <c r="G6" s="123">
        <v>201.55</v>
      </c>
      <c r="H6" s="123">
        <v>206.22</v>
      </c>
      <c r="I6" s="123">
        <v>176.95</v>
      </c>
      <c r="J6" s="123">
        <v>181.08</v>
      </c>
      <c r="K6" s="123">
        <v>132.84</v>
      </c>
      <c r="L6" s="123">
        <v>308.35000000000002</v>
      </c>
      <c r="M6" s="123">
        <v>107.52</v>
      </c>
      <c r="N6" s="123">
        <v>150.78</v>
      </c>
      <c r="O6" s="123">
        <v>183.39</v>
      </c>
      <c r="P6" s="123">
        <v>274.91000000000003</v>
      </c>
      <c r="Q6" s="123">
        <v>227.37</v>
      </c>
      <c r="R6" s="123">
        <v>160.09</v>
      </c>
      <c r="S6" s="123">
        <v>86.15</v>
      </c>
      <c r="T6" s="123">
        <v>167.23</v>
      </c>
      <c r="U6" s="123">
        <v>100.02</v>
      </c>
      <c r="V6" s="123">
        <v>164.85</v>
      </c>
      <c r="W6" s="123">
        <v>433.13</v>
      </c>
      <c r="X6" s="123">
        <v>237.04</v>
      </c>
      <c r="Y6" s="123">
        <v>52.28</v>
      </c>
      <c r="Z6" s="123">
        <v>70.61</v>
      </c>
      <c r="AA6" s="123">
        <v>35.229999999999997</v>
      </c>
      <c r="AB6" s="123">
        <v>92.33</v>
      </c>
      <c r="AC6" s="123">
        <v>104.35</v>
      </c>
      <c r="AD6" s="123">
        <v>129.47</v>
      </c>
      <c r="AE6" s="123"/>
      <c r="AF6" s="123"/>
      <c r="AG6" s="123"/>
      <c r="AH6" s="106">
        <f t="shared" si="1"/>
        <v>4455.0700000000006</v>
      </c>
      <c r="AJ6" s="160" t="s">
        <v>79</v>
      </c>
      <c r="AK6" s="161" t="s">
        <v>201</v>
      </c>
    </row>
    <row r="7" spans="1:37" ht="15.75" x14ac:dyDescent="0.25">
      <c r="A7" s="120" t="s">
        <v>79</v>
      </c>
      <c r="B7" s="121" t="s">
        <v>81</v>
      </c>
      <c r="C7" s="123">
        <v>0.51</v>
      </c>
      <c r="D7" s="123"/>
      <c r="E7" s="123"/>
      <c r="F7" s="123">
        <v>5.0999999999999996</v>
      </c>
      <c r="G7" s="123">
        <v>3.06</v>
      </c>
      <c r="H7" s="123"/>
      <c r="I7" s="123"/>
      <c r="J7" s="123"/>
      <c r="K7" s="123">
        <v>1.53</v>
      </c>
      <c r="L7" s="123"/>
      <c r="M7" s="123"/>
      <c r="N7" s="123"/>
      <c r="O7" s="123"/>
      <c r="P7" s="123"/>
      <c r="Q7" s="123">
        <v>0.51</v>
      </c>
      <c r="R7" s="123">
        <v>3.06</v>
      </c>
      <c r="S7" s="123"/>
      <c r="T7" s="123"/>
      <c r="U7" s="123"/>
      <c r="V7" s="123"/>
      <c r="W7" s="123"/>
      <c r="X7" s="123">
        <v>0.51</v>
      </c>
      <c r="Y7" s="123"/>
      <c r="Z7" s="123"/>
      <c r="AA7" s="123"/>
      <c r="AB7" s="123"/>
      <c r="AC7" s="123"/>
      <c r="AD7" s="123">
        <v>0.51</v>
      </c>
      <c r="AE7" s="123"/>
      <c r="AF7" s="123"/>
      <c r="AG7" s="123"/>
      <c r="AH7" s="106">
        <f t="shared" si="1"/>
        <v>14.79</v>
      </c>
      <c r="AJ7" s="160" t="s">
        <v>79</v>
      </c>
      <c r="AK7" s="161" t="s">
        <v>81</v>
      </c>
    </row>
    <row r="8" spans="1:37" ht="16.5" thickBot="1" x14ac:dyDescent="0.3">
      <c r="A8" s="433"/>
      <c r="B8" s="432" t="s">
        <v>191</v>
      </c>
      <c r="C8" s="431">
        <f t="shared" ref="C8:AG8" si="2">SUM(C3:C7)</f>
        <v>1603.53</v>
      </c>
      <c r="D8" s="431">
        <f t="shared" si="2"/>
        <v>1759.3999999999999</v>
      </c>
      <c r="E8" s="431">
        <f t="shared" si="2"/>
        <v>1399.02</v>
      </c>
      <c r="F8" s="431">
        <f t="shared" si="2"/>
        <v>1154.5899999999999</v>
      </c>
      <c r="G8" s="431">
        <f t="shared" si="2"/>
        <v>1578.6699999999998</v>
      </c>
      <c r="H8" s="431">
        <f t="shared" si="2"/>
        <v>1472.21</v>
      </c>
      <c r="I8" s="431">
        <f t="shared" si="2"/>
        <v>2056.67</v>
      </c>
      <c r="J8" s="431">
        <f t="shared" si="2"/>
        <v>1983.23</v>
      </c>
      <c r="K8" s="431">
        <f t="shared" si="2"/>
        <v>1864.9399999999998</v>
      </c>
      <c r="L8" s="431">
        <f t="shared" si="2"/>
        <v>2763.61</v>
      </c>
      <c r="M8" s="431">
        <f t="shared" si="2"/>
        <v>2285.69</v>
      </c>
      <c r="N8" s="431">
        <f t="shared" si="2"/>
        <v>1693.05</v>
      </c>
      <c r="O8" s="431">
        <f t="shared" si="2"/>
        <v>3080.69</v>
      </c>
      <c r="P8" s="431">
        <f t="shared" si="2"/>
        <v>3776.89</v>
      </c>
      <c r="Q8" s="431">
        <f t="shared" si="2"/>
        <v>2988.4100000000003</v>
      </c>
      <c r="R8" s="431">
        <f t="shared" si="2"/>
        <v>1932.2599999999998</v>
      </c>
      <c r="S8" s="431">
        <f t="shared" si="2"/>
        <v>1541.3300000000002</v>
      </c>
      <c r="T8" s="431">
        <f t="shared" si="2"/>
        <v>1877.03</v>
      </c>
      <c r="U8" s="431">
        <f t="shared" si="2"/>
        <v>2058.4900000000002</v>
      </c>
      <c r="V8" s="431">
        <f t="shared" si="2"/>
        <v>2132.4</v>
      </c>
      <c r="W8" s="431">
        <f t="shared" si="2"/>
        <v>3728.1400000000003</v>
      </c>
      <c r="X8" s="431">
        <f t="shared" si="2"/>
        <v>2335.92</v>
      </c>
      <c r="Y8" s="431">
        <f t="shared" si="2"/>
        <v>867.22</v>
      </c>
      <c r="Z8" s="431">
        <f t="shared" si="2"/>
        <v>804.94999999999993</v>
      </c>
      <c r="AA8" s="431">
        <f t="shared" si="2"/>
        <v>715.56000000000006</v>
      </c>
      <c r="AB8" s="431">
        <f t="shared" si="2"/>
        <v>852.08</v>
      </c>
      <c r="AC8" s="431">
        <f t="shared" si="2"/>
        <v>1179.2199999999998</v>
      </c>
      <c r="AD8" s="431">
        <f t="shared" si="2"/>
        <v>1278.23</v>
      </c>
      <c r="AE8" s="431">
        <f t="shared" si="2"/>
        <v>197</v>
      </c>
      <c r="AF8" s="431">
        <f t="shared" si="2"/>
        <v>21</v>
      </c>
      <c r="AG8" s="431">
        <f t="shared" si="2"/>
        <v>0</v>
      </c>
      <c r="AH8" s="430">
        <f t="shared" si="1"/>
        <v>52981.429999999993</v>
      </c>
      <c r="AJ8" s="160"/>
      <c r="AK8" s="161"/>
    </row>
    <row r="9" spans="1:37" ht="15.75" x14ac:dyDescent="0.25">
      <c r="A9" s="429" t="s">
        <v>61</v>
      </c>
      <c r="B9" s="428" t="s">
        <v>83</v>
      </c>
      <c r="C9" s="427">
        <v>16.579999999999998</v>
      </c>
      <c r="D9" s="105">
        <v>2.4700000000000002</v>
      </c>
      <c r="E9" s="426">
        <v>14.94</v>
      </c>
      <c r="F9" s="426">
        <v>9.17</v>
      </c>
      <c r="G9" s="426">
        <v>7.64</v>
      </c>
      <c r="H9" s="426">
        <v>9.11</v>
      </c>
      <c r="I9" s="426">
        <v>19.88</v>
      </c>
      <c r="J9" s="426">
        <v>5.26</v>
      </c>
      <c r="K9" s="426">
        <v>13.63</v>
      </c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26"/>
      <c r="W9" s="426"/>
      <c r="X9" s="426"/>
      <c r="Y9" s="426"/>
      <c r="Z9" s="426"/>
      <c r="AA9" s="426"/>
      <c r="AB9" s="426"/>
      <c r="AC9" s="426"/>
      <c r="AD9" s="426"/>
      <c r="AE9" s="426"/>
      <c r="AF9" s="426"/>
      <c r="AG9" s="426"/>
      <c r="AH9" s="425">
        <f t="shared" si="1"/>
        <v>98.679999999999993</v>
      </c>
      <c r="AJ9" s="423"/>
      <c r="AK9" s="422"/>
    </row>
    <row r="10" spans="1:37" ht="15.75" x14ac:dyDescent="0.25">
      <c r="A10" s="120" t="s">
        <v>69</v>
      </c>
      <c r="B10" s="121" t="s">
        <v>70</v>
      </c>
      <c r="C10" s="424">
        <v>1412</v>
      </c>
      <c r="D10" s="123">
        <v>492</v>
      </c>
      <c r="E10" s="151">
        <v>1130</v>
      </c>
      <c r="F10" s="151">
        <v>1066</v>
      </c>
      <c r="G10" s="151">
        <v>1023</v>
      </c>
      <c r="H10" s="151">
        <v>1307</v>
      </c>
      <c r="I10" s="151">
        <v>2611</v>
      </c>
      <c r="J10" s="151">
        <v>2182</v>
      </c>
      <c r="K10" s="151">
        <v>1173</v>
      </c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419">
        <f t="shared" si="1"/>
        <v>12396</v>
      </c>
      <c r="AJ10" s="423"/>
      <c r="AK10" s="422"/>
    </row>
    <row r="11" spans="1:37" ht="15.75" x14ac:dyDescent="0.25">
      <c r="A11" s="120" t="s">
        <v>80</v>
      </c>
      <c r="B11" s="121" t="s">
        <v>82</v>
      </c>
      <c r="C11" s="424"/>
      <c r="D11" s="123"/>
      <c r="E11" s="151"/>
      <c r="F11" s="151"/>
      <c r="G11" s="151"/>
      <c r="H11" s="151"/>
      <c r="I11" s="151"/>
      <c r="J11" s="151"/>
      <c r="K11" s="151">
        <v>20</v>
      </c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419">
        <f t="shared" si="1"/>
        <v>20</v>
      </c>
      <c r="AJ11" s="423"/>
      <c r="AK11" s="422"/>
    </row>
    <row r="12" spans="1:37" ht="15.75" x14ac:dyDescent="0.25">
      <c r="A12" s="120" t="s">
        <v>79</v>
      </c>
      <c r="B12" s="121" t="s">
        <v>201</v>
      </c>
      <c r="C12" s="424">
        <v>175.45</v>
      </c>
      <c r="D12" s="123">
        <v>26.18</v>
      </c>
      <c r="E12" s="151">
        <v>158.06</v>
      </c>
      <c r="F12" s="151">
        <v>97.04</v>
      </c>
      <c r="G12" s="151">
        <v>80.849999999999994</v>
      </c>
      <c r="H12" s="151">
        <v>96.44</v>
      </c>
      <c r="I12" s="151">
        <v>210.57</v>
      </c>
      <c r="J12" s="151">
        <v>55.68</v>
      </c>
      <c r="K12" s="151">
        <v>144.46</v>
      </c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419">
        <f t="shared" si="1"/>
        <v>1044.7299999999998</v>
      </c>
      <c r="AJ12" s="423"/>
      <c r="AK12" s="422"/>
    </row>
    <row r="13" spans="1:37" ht="15.75" x14ac:dyDescent="0.25">
      <c r="A13" s="120" t="s">
        <v>79</v>
      </c>
      <c r="B13" s="121" t="s">
        <v>81</v>
      </c>
      <c r="C13" s="424"/>
      <c r="D13" s="123">
        <v>0.51</v>
      </c>
      <c r="E13" s="151">
        <v>0.51</v>
      </c>
      <c r="F13" s="151"/>
      <c r="G13" s="151"/>
      <c r="H13" s="151"/>
      <c r="I13" s="151"/>
      <c r="J13" s="151">
        <v>0.51</v>
      </c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419">
        <f t="shared" si="1"/>
        <v>1.53</v>
      </c>
      <c r="AJ13" s="423"/>
      <c r="AK13" s="422"/>
    </row>
    <row r="14" spans="1:37" ht="16.5" thickBot="1" x14ac:dyDescent="0.3">
      <c r="A14" s="130"/>
      <c r="B14" s="421" t="s">
        <v>190</v>
      </c>
      <c r="C14" s="420">
        <f t="shared" ref="C14:AG14" si="3">SUM(C9:C13)</f>
        <v>1604.03</v>
      </c>
      <c r="D14" s="420">
        <f t="shared" si="3"/>
        <v>521.16</v>
      </c>
      <c r="E14" s="420">
        <f t="shared" si="3"/>
        <v>1303.51</v>
      </c>
      <c r="F14" s="420">
        <f t="shared" si="3"/>
        <v>1172.21</v>
      </c>
      <c r="G14" s="420">
        <f t="shared" si="3"/>
        <v>1111.49</v>
      </c>
      <c r="H14" s="420">
        <f t="shared" si="3"/>
        <v>1412.55</v>
      </c>
      <c r="I14" s="420">
        <f t="shared" si="3"/>
        <v>2841.4500000000003</v>
      </c>
      <c r="J14" s="420">
        <f t="shared" si="3"/>
        <v>2243.4500000000003</v>
      </c>
      <c r="K14" s="420">
        <f t="shared" si="3"/>
        <v>1351.0900000000001</v>
      </c>
      <c r="L14" s="420">
        <f t="shared" si="3"/>
        <v>0</v>
      </c>
      <c r="M14" s="420">
        <f t="shared" si="3"/>
        <v>0</v>
      </c>
      <c r="N14" s="420">
        <f t="shared" si="3"/>
        <v>0</v>
      </c>
      <c r="O14" s="420">
        <f t="shared" si="3"/>
        <v>0</v>
      </c>
      <c r="P14" s="420">
        <f t="shared" si="3"/>
        <v>0</v>
      </c>
      <c r="Q14" s="420">
        <f t="shared" si="3"/>
        <v>0</v>
      </c>
      <c r="R14" s="420">
        <f t="shared" si="3"/>
        <v>0</v>
      </c>
      <c r="S14" s="420">
        <f t="shared" si="3"/>
        <v>0</v>
      </c>
      <c r="T14" s="420">
        <f t="shared" si="3"/>
        <v>0</v>
      </c>
      <c r="U14" s="420">
        <f t="shared" si="3"/>
        <v>0</v>
      </c>
      <c r="V14" s="420">
        <f t="shared" si="3"/>
        <v>0</v>
      </c>
      <c r="W14" s="420">
        <f t="shared" si="3"/>
        <v>0</v>
      </c>
      <c r="X14" s="420">
        <f t="shared" si="3"/>
        <v>0</v>
      </c>
      <c r="Y14" s="420">
        <f t="shared" si="3"/>
        <v>0</v>
      </c>
      <c r="Z14" s="420">
        <f t="shared" si="3"/>
        <v>0</v>
      </c>
      <c r="AA14" s="420">
        <f t="shared" si="3"/>
        <v>0</v>
      </c>
      <c r="AB14" s="420">
        <f t="shared" si="3"/>
        <v>0</v>
      </c>
      <c r="AC14" s="420">
        <f t="shared" si="3"/>
        <v>0</v>
      </c>
      <c r="AD14" s="420">
        <f t="shared" si="3"/>
        <v>0</v>
      </c>
      <c r="AE14" s="420">
        <f t="shared" si="3"/>
        <v>0</v>
      </c>
      <c r="AF14" s="420">
        <f t="shared" si="3"/>
        <v>0</v>
      </c>
      <c r="AG14" s="420">
        <f t="shared" si="3"/>
        <v>0</v>
      </c>
      <c r="AH14" s="419">
        <f t="shared" si="1"/>
        <v>13560.94</v>
      </c>
      <c r="AJ14" s="75"/>
      <c r="AK14" s="76"/>
    </row>
    <row r="15" spans="1:37" x14ac:dyDescent="0.25">
      <c r="A15" s="132"/>
      <c r="B15" s="413" t="s">
        <v>64</v>
      </c>
      <c r="C15" s="412">
        <f t="shared" ref="C15:AG15" si="4">SUM(C3:C7,C9:C13)</f>
        <v>3207.5599999999995</v>
      </c>
      <c r="D15" s="412">
        <f t="shared" si="4"/>
        <v>2280.56</v>
      </c>
      <c r="E15" s="412">
        <f t="shared" si="4"/>
        <v>2702.53</v>
      </c>
      <c r="F15" s="412">
        <f t="shared" si="4"/>
        <v>2326.8000000000002</v>
      </c>
      <c r="G15" s="412">
        <f t="shared" si="4"/>
        <v>2690.16</v>
      </c>
      <c r="H15" s="412">
        <f t="shared" si="4"/>
        <v>2884.7599999999998</v>
      </c>
      <c r="I15" s="412">
        <f t="shared" si="4"/>
        <v>4898.12</v>
      </c>
      <c r="J15" s="412">
        <f t="shared" si="4"/>
        <v>4226.68</v>
      </c>
      <c r="K15" s="412">
        <f t="shared" si="4"/>
        <v>3216.0299999999997</v>
      </c>
      <c r="L15" s="412">
        <f t="shared" si="4"/>
        <v>2763.61</v>
      </c>
      <c r="M15" s="412">
        <f t="shared" si="4"/>
        <v>2285.69</v>
      </c>
      <c r="N15" s="412">
        <f t="shared" si="4"/>
        <v>1693.05</v>
      </c>
      <c r="O15" s="412">
        <f t="shared" si="4"/>
        <v>3080.69</v>
      </c>
      <c r="P15" s="412">
        <f t="shared" si="4"/>
        <v>3776.89</v>
      </c>
      <c r="Q15" s="412">
        <f t="shared" si="4"/>
        <v>2988.4100000000003</v>
      </c>
      <c r="R15" s="412">
        <f t="shared" si="4"/>
        <v>1932.2599999999998</v>
      </c>
      <c r="S15" s="412">
        <f t="shared" si="4"/>
        <v>1541.3300000000002</v>
      </c>
      <c r="T15" s="412">
        <f t="shared" si="4"/>
        <v>1877.03</v>
      </c>
      <c r="U15" s="412">
        <f t="shared" si="4"/>
        <v>2058.4900000000002</v>
      </c>
      <c r="V15" s="412">
        <f t="shared" si="4"/>
        <v>2132.4</v>
      </c>
      <c r="W15" s="412">
        <f t="shared" si="4"/>
        <v>3728.1400000000003</v>
      </c>
      <c r="X15" s="412">
        <f t="shared" si="4"/>
        <v>2335.92</v>
      </c>
      <c r="Y15" s="412">
        <f t="shared" si="4"/>
        <v>867.22</v>
      </c>
      <c r="Z15" s="412">
        <f t="shared" si="4"/>
        <v>804.94999999999993</v>
      </c>
      <c r="AA15" s="412">
        <f t="shared" si="4"/>
        <v>715.56000000000006</v>
      </c>
      <c r="AB15" s="412">
        <f t="shared" si="4"/>
        <v>852.08</v>
      </c>
      <c r="AC15" s="412">
        <f t="shared" si="4"/>
        <v>1179.2199999999998</v>
      </c>
      <c r="AD15" s="412">
        <f t="shared" si="4"/>
        <v>1278.23</v>
      </c>
      <c r="AE15" s="412">
        <f t="shared" si="4"/>
        <v>197</v>
      </c>
      <c r="AF15" s="412">
        <f t="shared" si="4"/>
        <v>21</v>
      </c>
      <c r="AG15" s="412">
        <f t="shared" si="4"/>
        <v>0</v>
      </c>
      <c r="AH15" s="107">
        <f t="shared" si="1"/>
        <v>66542.37000000001</v>
      </c>
      <c r="AJ15" s="81"/>
      <c r="AK15" s="82" t="s">
        <v>64</v>
      </c>
    </row>
    <row r="16" spans="1:37" ht="15.75" thickBot="1" x14ac:dyDescent="0.3">
      <c r="A16" s="284"/>
      <c r="B16" s="285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7"/>
      <c r="AJ16" s="188"/>
      <c r="AK16" s="188"/>
    </row>
    <row r="17" spans="1:40" ht="16.5" thickBot="1" x14ac:dyDescent="0.3">
      <c r="A17" s="84"/>
      <c r="B17" s="85"/>
      <c r="C17" s="86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418"/>
      <c r="AJ17" s="512" t="s">
        <v>127</v>
      </c>
      <c r="AK17" s="513"/>
      <c r="AL17" s="513"/>
      <c r="AM17" s="514"/>
    </row>
    <row r="18" spans="1:40" ht="16.5" thickBot="1" x14ac:dyDescent="0.3">
      <c r="A18" s="365" t="str">
        <f>'[1]TEMP Summary'!A12</f>
        <v>01-00-1000</v>
      </c>
      <c r="B18" s="452" t="s">
        <v>189</v>
      </c>
      <c r="C18" s="434">
        <v>557.66</v>
      </c>
      <c r="D18" s="435">
        <v>710.24</v>
      </c>
      <c r="E18" s="435">
        <v>671.45</v>
      </c>
      <c r="F18" s="435">
        <v>450.07</v>
      </c>
      <c r="G18" s="435">
        <v>675.7</v>
      </c>
      <c r="H18" s="435">
        <v>589.95000000000005</v>
      </c>
      <c r="I18" s="435">
        <v>603.86</v>
      </c>
      <c r="J18" s="435">
        <v>617.88</v>
      </c>
      <c r="K18" s="435">
        <v>515.65</v>
      </c>
      <c r="L18" s="435">
        <v>707.69</v>
      </c>
      <c r="M18" s="435">
        <v>725.02</v>
      </c>
      <c r="N18" s="435">
        <v>678.31</v>
      </c>
      <c r="O18" s="435">
        <v>1006.28</v>
      </c>
      <c r="P18" s="435">
        <v>880</v>
      </c>
      <c r="Q18" s="435">
        <v>812.17</v>
      </c>
      <c r="R18" s="435">
        <v>627.79999999999995</v>
      </c>
      <c r="S18" s="435">
        <v>301.12</v>
      </c>
      <c r="T18" s="105">
        <v>641.34</v>
      </c>
      <c r="U18" s="105">
        <v>732.28</v>
      </c>
      <c r="V18" s="105">
        <v>553.9</v>
      </c>
      <c r="W18" s="105">
        <v>1356.86</v>
      </c>
      <c r="X18" s="105">
        <v>792.19</v>
      </c>
      <c r="Y18" s="105">
        <v>243</v>
      </c>
      <c r="Z18" s="105">
        <v>321.41000000000003</v>
      </c>
      <c r="AA18" s="491">
        <v>262.04000000000002</v>
      </c>
      <c r="AB18" s="105">
        <v>503.05</v>
      </c>
      <c r="AC18" s="105">
        <v>219.94</v>
      </c>
      <c r="AD18" s="105">
        <v>341.59</v>
      </c>
      <c r="AE18" s="491"/>
      <c r="AF18" s="491">
        <v>21</v>
      </c>
      <c r="AG18" s="457"/>
      <c r="AH18" s="417">
        <f t="shared" ref="AH18:AH24" si="5">SUM(C18:AG18)</f>
        <v>17119.45</v>
      </c>
      <c r="AJ18" s="280" t="s">
        <v>66</v>
      </c>
      <c r="AK18" s="281" t="s">
        <v>128</v>
      </c>
      <c r="AL18" s="281" t="s">
        <v>120</v>
      </c>
      <c r="AM18" s="282" t="s">
        <v>121</v>
      </c>
    </row>
    <row r="19" spans="1:40" ht="16.5" thickBot="1" x14ac:dyDescent="0.3">
      <c r="A19" s="366" t="str">
        <f>'[1]TEMP Summary'!A13</f>
        <v>01-00-1000</v>
      </c>
      <c r="B19" s="453" t="s">
        <v>188</v>
      </c>
      <c r="C19" s="436">
        <v>635.34</v>
      </c>
      <c r="D19" s="437">
        <v>247.42</v>
      </c>
      <c r="E19" s="437">
        <v>587.46</v>
      </c>
      <c r="F19" s="437">
        <v>443.12</v>
      </c>
      <c r="G19" s="437">
        <v>516.94000000000005</v>
      </c>
      <c r="H19" s="437">
        <v>284.19</v>
      </c>
      <c r="I19" s="437">
        <v>779.61</v>
      </c>
      <c r="J19" s="437">
        <v>585.75</v>
      </c>
      <c r="K19" s="437">
        <v>444.99</v>
      </c>
      <c r="L19" s="437"/>
      <c r="M19" s="437"/>
      <c r="N19" s="437"/>
      <c r="O19" s="437"/>
      <c r="P19" s="437"/>
      <c r="Q19" s="437"/>
      <c r="R19" s="437"/>
      <c r="S19" s="437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458"/>
      <c r="AH19" s="416">
        <f t="shared" si="5"/>
        <v>4524.8200000000006</v>
      </c>
      <c r="AJ19" s="356"/>
      <c r="AK19" s="357"/>
      <c r="AL19" s="357"/>
      <c r="AM19" s="358"/>
    </row>
    <row r="20" spans="1:40" ht="15.75" x14ac:dyDescent="0.25">
      <c r="A20" s="366" t="str">
        <f>'[1]TEMP Summary'!A14</f>
        <v>01-00-1000</v>
      </c>
      <c r="B20" s="453" t="s">
        <v>187</v>
      </c>
      <c r="C20" s="487">
        <v>1045.8699999999999</v>
      </c>
      <c r="D20" s="489">
        <v>1049.1600000000001</v>
      </c>
      <c r="E20" s="489">
        <v>727.57</v>
      </c>
      <c r="F20" s="489">
        <v>704.52</v>
      </c>
      <c r="G20" s="489">
        <v>902.97</v>
      </c>
      <c r="H20" s="489">
        <v>882.26</v>
      </c>
      <c r="I20" s="489">
        <v>1452.81</v>
      </c>
      <c r="J20" s="489">
        <v>1365.35</v>
      </c>
      <c r="K20" s="489">
        <v>1349.29</v>
      </c>
      <c r="L20" s="489">
        <v>2055.92</v>
      </c>
      <c r="M20" s="489">
        <v>1560.67</v>
      </c>
      <c r="N20" s="489">
        <v>1014.74</v>
      </c>
      <c r="O20" s="489">
        <v>2074.41</v>
      </c>
      <c r="P20" s="489">
        <v>2888.89</v>
      </c>
      <c r="Q20" s="489">
        <v>2176.2399999999998</v>
      </c>
      <c r="R20" s="489">
        <v>1304.47</v>
      </c>
      <c r="S20" s="489">
        <v>1240.21</v>
      </c>
      <c r="T20" s="489">
        <v>1235.69</v>
      </c>
      <c r="U20" s="489">
        <v>1326.21</v>
      </c>
      <c r="V20" s="489">
        <v>1578.5</v>
      </c>
      <c r="W20" s="489">
        <v>2371.2800000000002</v>
      </c>
      <c r="X20" s="489">
        <v>1543.73</v>
      </c>
      <c r="Y20" s="489">
        <v>624.22</v>
      </c>
      <c r="Z20" s="489">
        <v>483.54</v>
      </c>
      <c r="AA20" s="489">
        <v>452.62</v>
      </c>
      <c r="AB20" s="489">
        <v>294.02999999999997</v>
      </c>
      <c r="AC20" s="489">
        <v>959.28</v>
      </c>
      <c r="AD20" s="489">
        <v>936.64</v>
      </c>
      <c r="AE20" s="489">
        <v>110</v>
      </c>
      <c r="AF20" s="123"/>
      <c r="AG20" s="458"/>
      <c r="AH20" s="416">
        <f t="shared" si="5"/>
        <v>35711.089999999997</v>
      </c>
      <c r="AJ20" s="124" t="s">
        <v>60</v>
      </c>
      <c r="AK20" s="125" t="s">
        <v>54</v>
      </c>
      <c r="AL20" s="450">
        <f>SUM(C18:Z19,AB18:AD19)</f>
        <v>21361.229999999996</v>
      </c>
      <c r="AM20" s="451">
        <f>SUM(AE18:AG19,AA18)</f>
        <v>283.04000000000002</v>
      </c>
    </row>
    <row r="21" spans="1:40" ht="15.75" x14ac:dyDescent="0.25">
      <c r="A21" s="366" t="str">
        <f>'[1]TEMP Summary'!A15</f>
        <v>01-00-1000</v>
      </c>
      <c r="B21" s="453" t="s">
        <v>186</v>
      </c>
      <c r="C21" s="487">
        <v>968.69</v>
      </c>
      <c r="D21" s="489">
        <v>273.74</v>
      </c>
      <c r="E21" s="489">
        <v>716.05</v>
      </c>
      <c r="F21" s="489">
        <v>739.09</v>
      </c>
      <c r="G21" s="489">
        <v>594.54999999999995</v>
      </c>
      <c r="H21" s="489">
        <v>1128.3599999999999</v>
      </c>
      <c r="I21" s="489">
        <v>2061.84</v>
      </c>
      <c r="J21" s="489">
        <v>1657.68</v>
      </c>
      <c r="K21" s="489">
        <v>906.1</v>
      </c>
      <c r="L21" s="437"/>
      <c r="M21" s="437"/>
      <c r="N21" s="437"/>
      <c r="O21" s="437"/>
      <c r="P21" s="437"/>
      <c r="Q21" s="437"/>
      <c r="R21" s="437"/>
      <c r="S21" s="437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458"/>
      <c r="AH21" s="416">
        <f>SUM(C21:AG21)</f>
        <v>9046.1</v>
      </c>
      <c r="AJ21" s="127" t="s">
        <v>60</v>
      </c>
      <c r="AK21" s="128" t="s">
        <v>202</v>
      </c>
      <c r="AL21" s="288">
        <f>SUM(C20:AB21)-AL29</f>
        <v>41415.680000000008</v>
      </c>
      <c r="AM21" s="289">
        <f>SUM(AC20:AG21)-AM29</f>
        <v>1943.21</v>
      </c>
    </row>
    <row r="22" spans="1:40" ht="15.75" x14ac:dyDescent="0.25">
      <c r="A22" s="366" t="s">
        <v>60</v>
      </c>
      <c r="B22" s="461" t="s">
        <v>204</v>
      </c>
      <c r="C22" s="462"/>
      <c r="D22" s="463"/>
      <c r="E22" s="463"/>
      <c r="F22" s="463"/>
      <c r="G22" s="463"/>
      <c r="H22" s="463"/>
      <c r="I22" s="463"/>
      <c r="J22" s="463"/>
      <c r="K22" s="463"/>
      <c r="L22" s="463"/>
      <c r="M22" s="463"/>
      <c r="N22" s="463"/>
      <c r="O22" s="463"/>
      <c r="P22" s="463"/>
      <c r="Q22" s="463"/>
      <c r="R22" s="463"/>
      <c r="S22" s="463"/>
      <c r="T22" s="151"/>
      <c r="U22" s="151"/>
      <c r="V22" s="151"/>
      <c r="W22" s="151"/>
      <c r="X22" s="151"/>
      <c r="Y22" s="151"/>
      <c r="Z22" s="151"/>
      <c r="AA22" s="151"/>
      <c r="AB22" s="151">
        <v>55</v>
      </c>
      <c r="AC22" s="151"/>
      <c r="AD22" s="151"/>
      <c r="AE22" s="151"/>
      <c r="AF22" s="151"/>
      <c r="AG22" s="464"/>
      <c r="AH22" s="416">
        <f>SUM(C22:AG22)</f>
        <v>55</v>
      </c>
      <c r="AJ22" s="359" t="s">
        <v>60</v>
      </c>
      <c r="AK22" s="360" t="s">
        <v>206</v>
      </c>
      <c r="AL22" s="361">
        <f>SUM(C22:AE23)</f>
        <v>55</v>
      </c>
      <c r="AM22" s="362">
        <f>SUM(AF22:AG23)</f>
        <v>0</v>
      </c>
    </row>
    <row r="23" spans="1:40" ht="16.5" thickBot="1" x14ac:dyDescent="0.3">
      <c r="A23" s="367" t="s">
        <v>60</v>
      </c>
      <c r="B23" s="454" t="s">
        <v>205</v>
      </c>
      <c r="C23" s="363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459"/>
      <c r="AH23" s="415">
        <f t="shared" si="5"/>
        <v>0</v>
      </c>
      <c r="AJ23" s="359"/>
      <c r="AK23" s="360"/>
      <c r="AL23" s="361"/>
      <c r="AM23" s="362"/>
    </row>
    <row r="24" spans="1:40" ht="16.5" thickBot="1" x14ac:dyDescent="0.3">
      <c r="A24" s="455"/>
      <c r="B24" s="456" t="s">
        <v>65</v>
      </c>
      <c r="C24" s="473">
        <f>SUM(C18:C23)</f>
        <v>3207.56</v>
      </c>
      <c r="D24" s="474">
        <f t="shared" ref="D24:AG24" si="6">SUM(D18:D23)</f>
        <v>2280.5600000000004</v>
      </c>
      <c r="E24" s="474">
        <f t="shared" si="6"/>
        <v>2702.5299999999997</v>
      </c>
      <c r="F24" s="474">
        <f t="shared" si="6"/>
        <v>2336.8000000000002</v>
      </c>
      <c r="G24" s="474">
        <f t="shared" si="6"/>
        <v>2690.16</v>
      </c>
      <c r="H24" s="474">
        <f t="shared" si="6"/>
        <v>2884.76</v>
      </c>
      <c r="I24" s="474">
        <f t="shared" si="6"/>
        <v>4898.12</v>
      </c>
      <c r="J24" s="474">
        <f t="shared" si="6"/>
        <v>4226.66</v>
      </c>
      <c r="K24" s="474">
        <f t="shared" si="6"/>
        <v>3216.0299999999997</v>
      </c>
      <c r="L24" s="474">
        <f t="shared" si="6"/>
        <v>2763.61</v>
      </c>
      <c r="M24" s="474">
        <f t="shared" si="6"/>
        <v>2285.69</v>
      </c>
      <c r="N24" s="474">
        <f t="shared" si="6"/>
        <v>1693.05</v>
      </c>
      <c r="O24" s="474">
        <f t="shared" si="6"/>
        <v>3080.6899999999996</v>
      </c>
      <c r="P24" s="474">
        <f t="shared" si="6"/>
        <v>3768.89</v>
      </c>
      <c r="Q24" s="474">
        <f t="shared" si="6"/>
        <v>2988.41</v>
      </c>
      <c r="R24" s="474">
        <f t="shared" si="6"/>
        <v>1932.27</v>
      </c>
      <c r="S24" s="474">
        <f t="shared" si="6"/>
        <v>1541.33</v>
      </c>
      <c r="T24" s="474">
        <f t="shared" si="6"/>
        <v>1877.0300000000002</v>
      </c>
      <c r="U24" s="474">
        <f t="shared" si="6"/>
        <v>2058.4899999999998</v>
      </c>
      <c r="V24" s="474">
        <f t="shared" si="6"/>
        <v>2132.4</v>
      </c>
      <c r="W24" s="474">
        <f t="shared" si="6"/>
        <v>3728.1400000000003</v>
      </c>
      <c r="X24" s="474">
        <f t="shared" si="6"/>
        <v>2335.92</v>
      </c>
      <c r="Y24" s="474">
        <f t="shared" si="6"/>
        <v>867.22</v>
      </c>
      <c r="Z24" s="474">
        <f t="shared" si="6"/>
        <v>804.95</v>
      </c>
      <c r="AA24" s="474">
        <f t="shared" si="6"/>
        <v>714.66000000000008</v>
      </c>
      <c r="AB24" s="474">
        <f t="shared" si="6"/>
        <v>852.07999999999993</v>
      </c>
      <c r="AC24" s="474">
        <f t="shared" si="6"/>
        <v>1179.22</v>
      </c>
      <c r="AD24" s="474">
        <f t="shared" si="6"/>
        <v>1278.23</v>
      </c>
      <c r="AE24" s="474">
        <f t="shared" si="6"/>
        <v>110</v>
      </c>
      <c r="AF24" s="474">
        <f t="shared" si="6"/>
        <v>21</v>
      </c>
      <c r="AG24" s="475">
        <f t="shared" si="6"/>
        <v>0</v>
      </c>
      <c r="AH24" s="460">
        <f t="shared" si="5"/>
        <v>66456.460000000006</v>
      </c>
      <c r="AJ24" s="133" t="s">
        <v>84</v>
      </c>
      <c r="AK24" s="134" t="s">
        <v>33</v>
      </c>
      <c r="AL24" s="290">
        <f>SUM(AH26:AH27)</f>
        <v>85.909999999999741</v>
      </c>
      <c r="AM24" s="291"/>
      <c r="AN24" s="114" t="s">
        <v>129</v>
      </c>
    </row>
    <row r="25" spans="1:40" ht="16.5" thickBot="1" x14ac:dyDescent="0.3">
      <c r="A25" s="93"/>
      <c r="B25" s="94"/>
      <c r="C25" s="95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6"/>
      <c r="AJ25" s="501" t="s">
        <v>76</v>
      </c>
      <c r="AK25" s="515"/>
      <c r="AL25" s="516">
        <f>SUM(AL20:AM24)</f>
        <v>65144.07</v>
      </c>
      <c r="AM25" s="517"/>
      <c r="AN25" s="292">
        <f>AL25-(AH24+AH26+AH27-AH29)</f>
        <v>0</v>
      </c>
    </row>
    <row r="26" spans="1:40" ht="15.75" x14ac:dyDescent="0.25">
      <c r="A26" s="414"/>
      <c r="B26" s="413" t="s">
        <v>185</v>
      </c>
      <c r="C26" s="412">
        <f>SUM(C3:C7)-(C18+C20+C22)</f>
        <v>0</v>
      </c>
      <c r="D26" s="412">
        <f t="shared" ref="D26:AG26" si="7">SUM(D3:D7)-(D18+D20+D22)</f>
        <v>0</v>
      </c>
      <c r="E26" s="412">
        <f t="shared" si="7"/>
        <v>0</v>
      </c>
      <c r="F26" s="412">
        <f t="shared" si="7"/>
        <v>0</v>
      </c>
      <c r="G26" s="412">
        <f t="shared" si="7"/>
        <v>0</v>
      </c>
      <c r="H26" s="412">
        <f t="shared" si="7"/>
        <v>0</v>
      </c>
      <c r="I26" s="412">
        <f t="shared" si="7"/>
        <v>0</v>
      </c>
      <c r="J26" s="412">
        <f t="shared" si="7"/>
        <v>0</v>
      </c>
      <c r="K26" s="412">
        <f t="shared" si="7"/>
        <v>0</v>
      </c>
      <c r="L26" s="412">
        <f t="shared" si="7"/>
        <v>0</v>
      </c>
      <c r="M26" s="412">
        <f t="shared" si="7"/>
        <v>0</v>
      </c>
      <c r="N26" s="412">
        <f t="shared" si="7"/>
        <v>0</v>
      </c>
      <c r="O26" s="412">
        <f t="shared" si="7"/>
        <v>0</v>
      </c>
      <c r="P26" s="412">
        <f t="shared" si="7"/>
        <v>8</v>
      </c>
      <c r="Q26" s="412">
        <f t="shared" si="7"/>
        <v>0</v>
      </c>
      <c r="R26" s="412">
        <f t="shared" si="7"/>
        <v>-1.0000000000218279E-2</v>
      </c>
      <c r="S26" s="412">
        <f t="shared" si="7"/>
        <v>0</v>
      </c>
      <c r="T26" s="412">
        <f t="shared" si="7"/>
        <v>0</v>
      </c>
      <c r="U26" s="412">
        <f t="shared" si="7"/>
        <v>0</v>
      </c>
      <c r="V26" s="412">
        <f t="shared" si="7"/>
        <v>0</v>
      </c>
      <c r="W26" s="412">
        <f t="shared" si="7"/>
        <v>0</v>
      </c>
      <c r="X26" s="412">
        <f t="shared" si="7"/>
        <v>0</v>
      </c>
      <c r="Y26" s="412">
        <f t="shared" si="7"/>
        <v>0</v>
      </c>
      <c r="Z26" s="412">
        <f t="shared" si="7"/>
        <v>0</v>
      </c>
      <c r="AA26" s="412">
        <f t="shared" si="7"/>
        <v>0.89999999999997726</v>
      </c>
      <c r="AB26" s="412">
        <f t="shared" si="7"/>
        <v>0</v>
      </c>
      <c r="AC26" s="412">
        <f t="shared" si="7"/>
        <v>0</v>
      </c>
      <c r="AD26" s="412">
        <f t="shared" si="7"/>
        <v>0</v>
      </c>
      <c r="AE26" s="412">
        <f t="shared" si="7"/>
        <v>87</v>
      </c>
      <c r="AF26" s="412">
        <f t="shared" si="7"/>
        <v>0</v>
      </c>
      <c r="AG26" s="412">
        <f t="shared" si="7"/>
        <v>0</v>
      </c>
      <c r="AH26" s="108">
        <f>SUM(C26:AG26)</f>
        <v>95.889999999999759</v>
      </c>
    </row>
    <row r="27" spans="1:40" ht="16.5" thickBot="1" x14ac:dyDescent="0.3">
      <c r="A27" s="411"/>
      <c r="B27" s="181" t="s">
        <v>184</v>
      </c>
      <c r="C27" s="410">
        <f>SUM(C9:C13)-(C19+C21+C23)</f>
        <v>0</v>
      </c>
      <c r="D27" s="410">
        <f t="shared" ref="D27:AG27" si="8">SUM(D9:D13)-(D19+D21+D23)</f>
        <v>0</v>
      </c>
      <c r="E27" s="410">
        <f t="shared" si="8"/>
        <v>0</v>
      </c>
      <c r="F27" s="410">
        <f t="shared" si="8"/>
        <v>-10</v>
      </c>
      <c r="G27" s="410">
        <f t="shared" si="8"/>
        <v>0</v>
      </c>
      <c r="H27" s="410">
        <f t="shared" si="8"/>
        <v>0</v>
      </c>
      <c r="I27" s="410">
        <f t="shared" si="8"/>
        <v>0</v>
      </c>
      <c r="J27" s="410">
        <f t="shared" si="8"/>
        <v>1.999999999998181E-2</v>
      </c>
      <c r="K27" s="410">
        <f t="shared" si="8"/>
        <v>0</v>
      </c>
      <c r="L27" s="410">
        <f t="shared" si="8"/>
        <v>0</v>
      </c>
      <c r="M27" s="410">
        <f t="shared" si="8"/>
        <v>0</v>
      </c>
      <c r="N27" s="410">
        <f t="shared" si="8"/>
        <v>0</v>
      </c>
      <c r="O27" s="410">
        <f t="shared" si="8"/>
        <v>0</v>
      </c>
      <c r="P27" s="410">
        <f t="shared" si="8"/>
        <v>0</v>
      </c>
      <c r="Q27" s="410">
        <f t="shared" si="8"/>
        <v>0</v>
      </c>
      <c r="R27" s="410">
        <f t="shared" si="8"/>
        <v>0</v>
      </c>
      <c r="S27" s="410">
        <f t="shared" si="8"/>
        <v>0</v>
      </c>
      <c r="T27" s="410">
        <f t="shared" si="8"/>
        <v>0</v>
      </c>
      <c r="U27" s="410">
        <f t="shared" si="8"/>
        <v>0</v>
      </c>
      <c r="V27" s="410">
        <f t="shared" si="8"/>
        <v>0</v>
      </c>
      <c r="W27" s="410">
        <f t="shared" si="8"/>
        <v>0</v>
      </c>
      <c r="X27" s="410">
        <f t="shared" si="8"/>
        <v>0</v>
      </c>
      <c r="Y27" s="410">
        <f t="shared" si="8"/>
        <v>0</v>
      </c>
      <c r="Z27" s="410">
        <f t="shared" si="8"/>
        <v>0</v>
      </c>
      <c r="AA27" s="410">
        <f t="shared" si="8"/>
        <v>0</v>
      </c>
      <c r="AB27" s="410">
        <f t="shared" si="8"/>
        <v>0</v>
      </c>
      <c r="AC27" s="410">
        <f t="shared" si="8"/>
        <v>0</v>
      </c>
      <c r="AD27" s="410">
        <f t="shared" si="8"/>
        <v>0</v>
      </c>
      <c r="AE27" s="410">
        <f t="shared" si="8"/>
        <v>0</v>
      </c>
      <c r="AF27" s="410">
        <f t="shared" si="8"/>
        <v>0</v>
      </c>
      <c r="AG27" s="410">
        <f t="shared" si="8"/>
        <v>0</v>
      </c>
      <c r="AH27" s="110">
        <f>SUM(C27:AG27)</f>
        <v>-9.9800000000000182</v>
      </c>
    </row>
    <row r="28" spans="1:40" ht="16.5" thickBot="1" x14ac:dyDescent="0.3">
      <c r="A28" s="443"/>
      <c r="B28" s="443"/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4"/>
      <c r="AF28" s="444"/>
      <c r="AG28" s="444"/>
      <c r="AH28" s="445"/>
    </row>
    <row r="29" spans="1:40" ht="16.5" thickBot="1" x14ac:dyDescent="0.3">
      <c r="A29" s="446" t="s">
        <v>203</v>
      </c>
      <c r="B29" s="447" t="s">
        <v>195</v>
      </c>
      <c r="C29" s="488">
        <v>62.91</v>
      </c>
      <c r="D29" s="488">
        <v>41.35</v>
      </c>
      <c r="E29" s="488">
        <v>45.08</v>
      </c>
      <c r="F29" s="488">
        <v>45.09</v>
      </c>
      <c r="G29" s="488">
        <v>46.79</v>
      </c>
      <c r="H29" s="488">
        <v>62.8</v>
      </c>
      <c r="I29" s="488">
        <v>109.83</v>
      </c>
      <c r="J29" s="488">
        <v>94.47</v>
      </c>
      <c r="K29" s="488">
        <v>70.459999999999994</v>
      </c>
      <c r="L29" s="488">
        <v>64.13</v>
      </c>
      <c r="M29" s="488">
        <v>48.74</v>
      </c>
      <c r="N29" s="488">
        <v>31.72</v>
      </c>
      <c r="O29" s="488">
        <v>64.790000000000006</v>
      </c>
      <c r="P29" s="488">
        <v>90.23</v>
      </c>
      <c r="Q29" s="488">
        <v>67.989999999999995</v>
      </c>
      <c r="R29" s="488">
        <v>40.74</v>
      </c>
      <c r="S29" s="488">
        <v>38.770000000000003</v>
      </c>
      <c r="T29" s="488">
        <v>38.56</v>
      </c>
      <c r="U29" s="488">
        <v>41.45</v>
      </c>
      <c r="V29" s="488">
        <v>49.33</v>
      </c>
      <c r="W29" s="488">
        <v>74.099999999999994</v>
      </c>
      <c r="X29" s="488">
        <v>48.29</v>
      </c>
      <c r="Y29" s="488">
        <v>19.54</v>
      </c>
      <c r="Z29" s="488">
        <v>15.13</v>
      </c>
      <c r="AA29" s="488">
        <v>14.12</v>
      </c>
      <c r="AB29" s="488">
        <v>9.18</v>
      </c>
      <c r="AC29" s="488">
        <v>30.04</v>
      </c>
      <c r="AD29" s="488">
        <v>29.24</v>
      </c>
      <c r="AE29" s="488">
        <v>3.43</v>
      </c>
      <c r="AF29" s="448"/>
      <c r="AG29" s="448"/>
      <c r="AH29" s="449">
        <f>SUM(C29:AG29)</f>
        <v>1398.3</v>
      </c>
      <c r="AJ29" s="209" t="s">
        <v>203</v>
      </c>
      <c r="AK29" s="210" t="s">
        <v>197</v>
      </c>
      <c r="AL29" s="269">
        <f>SUM(C29:AB29)</f>
        <v>1335.59</v>
      </c>
      <c r="AM29" s="270">
        <f>SUM(AC29:AG29)</f>
        <v>62.71</v>
      </c>
    </row>
    <row r="30" spans="1:40" ht="16.5" thickBot="1" x14ac:dyDescent="0.3">
      <c r="B30" s="60" t="s">
        <v>232</v>
      </c>
      <c r="C30" s="484">
        <f>C20+C21-C29</f>
        <v>1951.6499999999999</v>
      </c>
      <c r="D30" s="484">
        <f>D20+D21-D29</f>
        <v>1281.5500000000002</v>
      </c>
      <c r="E30" s="484">
        <f t="shared" ref="E30:AG30" si="9">E20+E21-E29</f>
        <v>1398.54</v>
      </c>
      <c r="F30" s="484">
        <f t="shared" si="9"/>
        <v>1398.5200000000002</v>
      </c>
      <c r="G30" s="484">
        <f t="shared" si="9"/>
        <v>1450.73</v>
      </c>
      <c r="H30" s="484">
        <f t="shared" si="9"/>
        <v>1947.82</v>
      </c>
      <c r="I30" s="484">
        <f t="shared" si="9"/>
        <v>3404.82</v>
      </c>
      <c r="J30" s="484">
        <f t="shared" si="9"/>
        <v>2928.56</v>
      </c>
      <c r="K30" s="484">
        <f t="shared" si="9"/>
        <v>2184.9299999999998</v>
      </c>
      <c r="L30" s="484">
        <f t="shared" si="9"/>
        <v>1991.79</v>
      </c>
      <c r="M30" s="484">
        <f t="shared" si="9"/>
        <v>1511.93</v>
      </c>
      <c r="N30" s="484">
        <f t="shared" si="9"/>
        <v>983.02</v>
      </c>
      <c r="O30" s="484">
        <f t="shared" si="9"/>
        <v>2009.62</v>
      </c>
      <c r="P30" s="484">
        <f t="shared" si="9"/>
        <v>2798.66</v>
      </c>
      <c r="Q30" s="484">
        <f t="shared" si="9"/>
        <v>2108.25</v>
      </c>
      <c r="R30" s="484">
        <f t="shared" si="9"/>
        <v>1263.73</v>
      </c>
      <c r="S30" s="484">
        <f t="shared" si="9"/>
        <v>1201.44</v>
      </c>
      <c r="T30" s="484">
        <f t="shared" si="9"/>
        <v>1197.1300000000001</v>
      </c>
      <c r="U30" s="484">
        <f t="shared" si="9"/>
        <v>1284.76</v>
      </c>
      <c r="V30" s="484">
        <f t="shared" si="9"/>
        <v>1529.17</v>
      </c>
      <c r="W30" s="484">
        <f t="shared" si="9"/>
        <v>2297.1800000000003</v>
      </c>
      <c r="X30" s="484">
        <f t="shared" si="9"/>
        <v>1495.44</v>
      </c>
      <c r="Y30" s="484">
        <f t="shared" si="9"/>
        <v>604.68000000000006</v>
      </c>
      <c r="Z30" s="484">
        <f t="shared" si="9"/>
        <v>468.41</v>
      </c>
      <c r="AA30" s="484">
        <f t="shared" si="9"/>
        <v>438.5</v>
      </c>
      <c r="AB30" s="484">
        <f t="shared" si="9"/>
        <v>284.84999999999997</v>
      </c>
      <c r="AC30" s="484">
        <f t="shared" si="9"/>
        <v>929.24</v>
      </c>
      <c r="AD30" s="484">
        <f t="shared" si="9"/>
        <v>907.4</v>
      </c>
      <c r="AE30" s="484">
        <f t="shared" si="9"/>
        <v>106.57</v>
      </c>
      <c r="AF30" s="484">
        <f t="shared" si="9"/>
        <v>0</v>
      </c>
      <c r="AG30" s="484">
        <f t="shared" si="9"/>
        <v>0</v>
      </c>
      <c r="AH30" s="61"/>
    </row>
    <row r="31" spans="1:40" ht="16.5" thickBot="1" x14ac:dyDescent="0.3">
      <c r="A31" s="162"/>
      <c r="B31" s="163" t="s">
        <v>57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5"/>
      <c r="AJ31" s="510" t="s">
        <v>57</v>
      </c>
      <c r="AK31" s="511"/>
    </row>
    <row r="32" spans="1:40" x14ac:dyDescent="0.25">
      <c r="A32" s="166"/>
      <c r="B32" s="137" t="s">
        <v>75</v>
      </c>
      <c r="C32" s="142">
        <v>143</v>
      </c>
      <c r="D32" s="142">
        <v>140</v>
      </c>
      <c r="E32" s="142">
        <v>109</v>
      </c>
      <c r="F32" s="142">
        <v>97</v>
      </c>
      <c r="G32" s="142">
        <v>112</v>
      </c>
      <c r="H32" s="142">
        <v>121</v>
      </c>
      <c r="I32" s="142">
        <v>200</v>
      </c>
      <c r="J32" s="142">
        <v>200</v>
      </c>
      <c r="K32" s="142">
        <v>172</v>
      </c>
      <c r="L32" s="142">
        <v>204</v>
      </c>
      <c r="M32" s="142">
        <v>228</v>
      </c>
      <c r="N32" s="142">
        <v>150</v>
      </c>
      <c r="O32" s="142">
        <v>313</v>
      </c>
      <c r="P32" s="142">
        <v>377</v>
      </c>
      <c r="Q32" s="142">
        <v>282</v>
      </c>
      <c r="R32" s="142">
        <v>186</v>
      </c>
      <c r="S32" s="142">
        <v>134</v>
      </c>
      <c r="T32" s="142">
        <v>160</v>
      </c>
      <c r="U32" s="142">
        <v>186</v>
      </c>
      <c r="V32" s="142">
        <v>194</v>
      </c>
      <c r="W32" s="142">
        <v>353</v>
      </c>
      <c r="X32" s="142">
        <v>223</v>
      </c>
      <c r="Y32" s="142">
        <v>96</v>
      </c>
      <c r="Z32" s="142">
        <v>57</v>
      </c>
      <c r="AA32" s="142">
        <v>68</v>
      </c>
      <c r="AB32" s="142">
        <v>77</v>
      </c>
      <c r="AC32" s="142">
        <v>121</v>
      </c>
      <c r="AD32" s="142">
        <v>131</v>
      </c>
      <c r="AE32" s="142">
        <v>8</v>
      </c>
      <c r="AF32" s="142">
        <f>'[1]TEMP Summary'!$T$22</f>
        <v>0</v>
      </c>
      <c r="AG32" s="142">
        <f>'[1]TEMP Summary'!$T$22</f>
        <v>0</v>
      </c>
      <c r="AH32" s="409">
        <f t="shared" ref="AH32:AH44" si="10">SUM(C32:AG32)</f>
        <v>4842</v>
      </c>
      <c r="AJ32" s="255">
        <f>AH32+AH39</f>
        <v>6112</v>
      </c>
      <c r="AK32" s="256" t="s">
        <v>75</v>
      </c>
    </row>
    <row r="33" spans="1:37" x14ac:dyDescent="0.25">
      <c r="A33" s="166"/>
      <c r="B33" s="141" t="s">
        <v>74</v>
      </c>
      <c r="C33" s="142">
        <v>32</v>
      </c>
      <c r="D33" s="142">
        <v>25</v>
      </c>
      <c r="E33" s="142">
        <v>11</v>
      </c>
      <c r="F33" s="142">
        <v>12</v>
      </c>
      <c r="G33" s="142">
        <v>20</v>
      </c>
      <c r="H33" s="142">
        <v>20</v>
      </c>
      <c r="I33" s="142">
        <v>41</v>
      </c>
      <c r="J33" s="142">
        <v>29</v>
      </c>
      <c r="K33" s="142">
        <v>44</v>
      </c>
      <c r="L33" s="142">
        <v>71</v>
      </c>
      <c r="M33" s="142">
        <v>52</v>
      </c>
      <c r="N33" s="142">
        <v>44</v>
      </c>
      <c r="O33" s="142">
        <v>73</v>
      </c>
      <c r="P33" s="142">
        <v>99</v>
      </c>
      <c r="Q33" s="142">
        <v>75</v>
      </c>
      <c r="R33" s="142">
        <v>40</v>
      </c>
      <c r="S33" s="142">
        <v>43</v>
      </c>
      <c r="T33" s="142">
        <v>50</v>
      </c>
      <c r="U33" s="142">
        <v>61</v>
      </c>
      <c r="V33" s="142">
        <v>66</v>
      </c>
      <c r="W33" s="142">
        <v>99</v>
      </c>
      <c r="X33" s="142">
        <v>45</v>
      </c>
      <c r="Y33" s="142">
        <v>12</v>
      </c>
      <c r="Z33" s="142">
        <v>20</v>
      </c>
      <c r="AA33" s="142">
        <v>9</v>
      </c>
      <c r="AB33" s="142">
        <v>16</v>
      </c>
      <c r="AC33" s="142">
        <v>10</v>
      </c>
      <c r="AD33" s="142">
        <v>21</v>
      </c>
      <c r="AE33" s="142">
        <v>9</v>
      </c>
      <c r="AF33" s="142">
        <f>'[1]TEMP Summary'!$T$22</f>
        <v>0</v>
      </c>
      <c r="AG33" s="142">
        <f>'[1]TEMP Summary'!$T$22</f>
        <v>0</v>
      </c>
      <c r="AH33" s="408">
        <f t="shared" si="10"/>
        <v>1149</v>
      </c>
      <c r="AJ33" s="255">
        <f t="shared" ref="AJ33:AJ37" si="11">AH33+AH40</f>
        <v>1405</v>
      </c>
      <c r="AK33" s="256" t="s">
        <v>74</v>
      </c>
    </row>
    <row r="34" spans="1:37" x14ac:dyDescent="0.25">
      <c r="A34" s="166"/>
      <c r="B34" s="141" t="s">
        <v>199</v>
      </c>
      <c r="C34" s="142">
        <v>3</v>
      </c>
      <c r="D34" s="142">
        <v>2</v>
      </c>
      <c r="E34" s="142">
        <v>1</v>
      </c>
      <c r="F34" s="142">
        <v>0</v>
      </c>
      <c r="G34" s="142">
        <f>'[1]TEMP Summary'!$T$22</f>
        <v>0</v>
      </c>
      <c r="H34" s="142">
        <v>1</v>
      </c>
      <c r="I34" s="142">
        <f>'[1]TEMP Summary'!$T$22</f>
        <v>0</v>
      </c>
      <c r="J34" s="142">
        <v>1</v>
      </c>
      <c r="K34" s="142">
        <v>4</v>
      </c>
      <c r="L34" s="142">
        <v>2</v>
      </c>
      <c r="M34" s="142">
        <v>9</v>
      </c>
      <c r="N34" s="142">
        <v>1</v>
      </c>
      <c r="O34" s="142">
        <f>'[1]TEMP Summary'!$T$22</f>
        <v>0</v>
      </c>
      <c r="P34" s="142">
        <v>8</v>
      </c>
      <c r="Q34" s="142">
        <v>1</v>
      </c>
      <c r="R34" s="142">
        <v>10</v>
      </c>
      <c r="S34" s="142">
        <f>'[1]TEMP Summary'!$T$22</f>
        <v>0</v>
      </c>
      <c r="T34" s="142">
        <f>'[1]TEMP Summary'!$T$22</f>
        <v>0</v>
      </c>
      <c r="U34" s="142">
        <v>4</v>
      </c>
      <c r="V34" s="142">
        <v>6</v>
      </c>
      <c r="W34" s="142">
        <v>3</v>
      </c>
      <c r="X34" s="142">
        <f>'[1]TEMP Summary'!$T$22</f>
        <v>0</v>
      </c>
      <c r="Y34" s="142">
        <v>3</v>
      </c>
      <c r="Z34" s="142">
        <f>'[1]TEMP Summary'!$T$22</f>
        <v>0</v>
      </c>
      <c r="AA34" s="142">
        <f>'[1]TEMP Summary'!$T$22</f>
        <v>0</v>
      </c>
      <c r="AB34" s="142">
        <f>'[1]TEMP Summary'!$T$22</f>
        <v>0</v>
      </c>
      <c r="AC34" s="142">
        <v>3</v>
      </c>
      <c r="AD34" s="142">
        <f>'[1]TEMP Summary'!$T$22</f>
        <v>0</v>
      </c>
      <c r="AE34" s="142">
        <f>'[1]TEMP Summary'!$T$22</f>
        <v>0</v>
      </c>
      <c r="AF34" s="142">
        <f>'[1]TEMP Summary'!$T$22</f>
        <v>0</v>
      </c>
      <c r="AG34" s="142">
        <f>'[1]TEMP Summary'!$T$22</f>
        <v>0</v>
      </c>
      <c r="AH34" s="408">
        <f t="shared" si="10"/>
        <v>62</v>
      </c>
      <c r="AJ34" s="255">
        <f t="shared" si="11"/>
        <v>102</v>
      </c>
      <c r="AK34" s="256" t="s">
        <v>200</v>
      </c>
    </row>
    <row r="35" spans="1:37" x14ac:dyDescent="0.25">
      <c r="A35" s="166"/>
      <c r="B35" s="141" t="s">
        <v>72</v>
      </c>
      <c r="C35" s="142">
        <f>'[1]TEMP Summary'!$T$22</f>
        <v>0</v>
      </c>
      <c r="D35" s="142">
        <f>'[1]TEMP Summary'!$T$22</f>
        <v>0</v>
      </c>
      <c r="E35" s="142">
        <f>'[1]TEMP Summary'!$T$22</f>
        <v>0</v>
      </c>
      <c r="F35" s="142">
        <f>'[1]TEMP Summary'!$T$22</f>
        <v>0</v>
      </c>
      <c r="G35" s="142">
        <f>'[1]TEMP Summary'!$T$22</f>
        <v>0</v>
      </c>
      <c r="H35" s="142">
        <v>2</v>
      </c>
      <c r="I35" s="142">
        <f>'[1]TEMP Summary'!$T$22</f>
        <v>0</v>
      </c>
      <c r="J35" s="142">
        <f>'[1]TEMP Summary'!$T$22</f>
        <v>0</v>
      </c>
      <c r="K35" s="142">
        <f>'[1]TEMP Summary'!$T$22</f>
        <v>0</v>
      </c>
      <c r="L35" s="142">
        <v>35</v>
      </c>
      <c r="M35" s="142">
        <f>'[1]TEMP Summary'!$T$22</f>
        <v>0</v>
      </c>
      <c r="N35" s="142">
        <f>'[1]TEMP Summary'!$T$22</f>
        <v>0</v>
      </c>
      <c r="O35" s="142">
        <f>'[1]TEMP Summary'!$T$22</f>
        <v>0</v>
      </c>
      <c r="P35" s="142">
        <f>'[1]TEMP Summary'!$T$22</f>
        <v>0</v>
      </c>
      <c r="Q35" s="142">
        <f>'[1]TEMP Summary'!$T$22</f>
        <v>0</v>
      </c>
      <c r="R35" s="142">
        <f>'[1]TEMP Summary'!$T$22</f>
        <v>0</v>
      </c>
      <c r="S35" s="142">
        <f>'[1]TEMP Summary'!$T$22</f>
        <v>0</v>
      </c>
      <c r="T35" s="142">
        <f>'[1]TEMP Summary'!$T$22</f>
        <v>0</v>
      </c>
      <c r="U35" s="142">
        <f>'[1]TEMP Summary'!$T$22</f>
        <v>0</v>
      </c>
      <c r="V35" s="142">
        <f>'[1]TEMP Summary'!$T$22</f>
        <v>0</v>
      </c>
      <c r="W35" s="142">
        <f>'[1]TEMP Summary'!$T$22</f>
        <v>0</v>
      </c>
      <c r="X35" s="142">
        <f>'[1]TEMP Summary'!$T$22</f>
        <v>0</v>
      </c>
      <c r="Y35" s="142">
        <f>'[1]TEMP Summary'!$T$22</f>
        <v>0</v>
      </c>
      <c r="Z35" s="142">
        <f>'[1]TEMP Summary'!$T$22</f>
        <v>0</v>
      </c>
      <c r="AA35" s="142">
        <f>'[1]TEMP Summary'!$T$22</f>
        <v>0</v>
      </c>
      <c r="AB35" s="142">
        <f>'[1]TEMP Summary'!$T$22</f>
        <v>0</v>
      </c>
      <c r="AC35" s="142">
        <f>'[1]TEMP Summary'!$T$22</f>
        <v>0</v>
      </c>
      <c r="AD35" s="142">
        <f>'[1]TEMP Summary'!$T$22</f>
        <v>0</v>
      </c>
      <c r="AE35" s="142">
        <f>'[1]TEMP Summary'!$T$22</f>
        <v>0</v>
      </c>
      <c r="AF35" s="142">
        <f>'[1]TEMP Summary'!$T$22</f>
        <v>0</v>
      </c>
      <c r="AG35" s="142">
        <f>'[1]TEMP Summary'!$T$22</f>
        <v>0</v>
      </c>
      <c r="AH35" s="408">
        <f t="shared" si="10"/>
        <v>37</v>
      </c>
      <c r="AJ35" s="255">
        <f t="shared" si="11"/>
        <v>37</v>
      </c>
      <c r="AK35" s="256" t="s">
        <v>72</v>
      </c>
    </row>
    <row r="36" spans="1:37" x14ac:dyDescent="0.25">
      <c r="A36" s="166"/>
      <c r="B36" s="141" t="s">
        <v>73</v>
      </c>
      <c r="C36" s="142">
        <v>61</v>
      </c>
      <c r="D36" s="142">
        <v>78</v>
      </c>
      <c r="E36" s="142">
        <v>70</v>
      </c>
      <c r="F36" s="142">
        <v>53</v>
      </c>
      <c r="G36" s="142">
        <v>69</v>
      </c>
      <c r="H36" s="142">
        <v>53</v>
      </c>
      <c r="I36" s="142">
        <v>43</v>
      </c>
      <c r="J36" s="142">
        <v>40</v>
      </c>
      <c r="K36" s="142">
        <v>49</v>
      </c>
      <c r="L36" s="142">
        <v>78</v>
      </c>
      <c r="M36" s="142">
        <v>52</v>
      </c>
      <c r="N36" s="142">
        <v>43</v>
      </c>
      <c r="O36" s="142">
        <v>54</v>
      </c>
      <c r="P36" s="142">
        <v>57</v>
      </c>
      <c r="Q36" s="142">
        <v>65</v>
      </c>
      <c r="R36" s="142">
        <v>42</v>
      </c>
      <c r="S36" s="142">
        <v>49</v>
      </c>
      <c r="T36" s="142">
        <v>54</v>
      </c>
      <c r="U36" s="142">
        <v>56</v>
      </c>
      <c r="V36" s="142">
        <v>44</v>
      </c>
      <c r="W36" s="142">
        <v>48</v>
      </c>
      <c r="X36" s="142">
        <v>45</v>
      </c>
      <c r="Y36" s="142">
        <v>13</v>
      </c>
      <c r="Z36" s="142">
        <v>23</v>
      </c>
      <c r="AA36" s="142">
        <v>26</v>
      </c>
      <c r="AB36" s="142">
        <v>22</v>
      </c>
      <c r="AC36" s="142">
        <v>28</v>
      </c>
      <c r="AD36" s="142">
        <v>19</v>
      </c>
      <c r="AE36" s="142">
        <v>16</v>
      </c>
      <c r="AF36" s="142"/>
      <c r="AG36" s="142">
        <f>'[1]TEMP Summary'!$T$22</f>
        <v>0</v>
      </c>
      <c r="AH36" s="408">
        <f t="shared" si="10"/>
        <v>1350</v>
      </c>
      <c r="AJ36" s="255">
        <f t="shared" si="11"/>
        <v>1721</v>
      </c>
      <c r="AK36" s="256" t="s">
        <v>73</v>
      </c>
    </row>
    <row r="37" spans="1:37" x14ac:dyDescent="0.25">
      <c r="A37" s="166"/>
      <c r="B37" s="141" t="s">
        <v>71</v>
      </c>
      <c r="C37" s="142">
        <v>2</v>
      </c>
      <c r="D37" s="142">
        <v>9</v>
      </c>
      <c r="E37" s="142">
        <v>10</v>
      </c>
      <c r="F37" s="142">
        <v>12</v>
      </c>
      <c r="G37" s="142">
        <v>21</v>
      </c>
      <c r="H37" s="142">
        <v>9</v>
      </c>
      <c r="I37" s="142">
        <v>10</v>
      </c>
      <c r="J37" s="142">
        <v>7</v>
      </c>
      <c r="K37" s="142">
        <v>4</v>
      </c>
      <c r="L37" s="142">
        <v>9</v>
      </c>
      <c r="M37" s="142">
        <v>22</v>
      </c>
      <c r="N37" s="142">
        <v>3</v>
      </c>
      <c r="O37" s="142">
        <v>13</v>
      </c>
      <c r="P37" s="142">
        <v>11</v>
      </c>
      <c r="Q37" s="142">
        <v>6</v>
      </c>
      <c r="R37" s="142">
        <v>18</v>
      </c>
      <c r="S37" s="142">
        <v>4</v>
      </c>
      <c r="T37" s="142">
        <v>8</v>
      </c>
      <c r="U37" s="142">
        <v>3</v>
      </c>
      <c r="V37" s="142">
        <v>30</v>
      </c>
      <c r="W37" s="142">
        <v>9</v>
      </c>
      <c r="X37" s="142">
        <v>10</v>
      </c>
      <c r="Y37" s="142">
        <v>14</v>
      </c>
      <c r="Z37" s="142">
        <v>3</v>
      </c>
      <c r="AA37" s="142">
        <v>11</v>
      </c>
      <c r="AB37" s="142">
        <v>11</v>
      </c>
      <c r="AC37" s="142">
        <v>12</v>
      </c>
      <c r="AD37" s="142">
        <v>1</v>
      </c>
      <c r="AE37" s="142">
        <v>3</v>
      </c>
      <c r="AF37" s="142">
        <f>'[1]TEMP Summary'!$T$22</f>
        <v>0</v>
      </c>
      <c r="AG37" s="142">
        <f>'[1]TEMP Summary'!$T$22</f>
        <v>0</v>
      </c>
      <c r="AH37" s="408">
        <f t="shared" si="10"/>
        <v>285</v>
      </c>
      <c r="AJ37" s="255">
        <f t="shared" si="11"/>
        <v>350</v>
      </c>
      <c r="AK37" s="256" t="s">
        <v>71</v>
      </c>
    </row>
    <row r="38" spans="1:37" ht="15.75" thickBot="1" x14ac:dyDescent="0.3">
      <c r="A38" s="166"/>
      <c r="B38" s="438" t="s">
        <v>183</v>
      </c>
      <c r="C38" s="439">
        <f t="shared" ref="C38:AG38" si="12">SUM(C32:C37)</f>
        <v>241</v>
      </c>
      <c r="D38" s="440">
        <f t="shared" si="12"/>
        <v>254</v>
      </c>
      <c r="E38" s="440">
        <f t="shared" si="12"/>
        <v>201</v>
      </c>
      <c r="F38" s="440">
        <f t="shared" si="12"/>
        <v>174</v>
      </c>
      <c r="G38" s="440">
        <f t="shared" si="12"/>
        <v>222</v>
      </c>
      <c r="H38" s="440">
        <f t="shared" si="12"/>
        <v>206</v>
      </c>
      <c r="I38" s="440">
        <f t="shared" si="12"/>
        <v>294</v>
      </c>
      <c r="J38" s="440">
        <f t="shared" si="12"/>
        <v>277</v>
      </c>
      <c r="K38" s="440">
        <f t="shared" si="12"/>
        <v>273</v>
      </c>
      <c r="L38" s="440">
        <f t="shared" si="12"/>
        <v>399</v>
      </c>
      <c r="M38" s="440">
        <f t="shared" si="12"/>
        <v>363</v>
      </c>
      <c r="N38" s="440">
        <f t="shared" si="12"/>
        <v>241</v>
      </c>
      <c r="O38" s="440">
        <f t="shared" si="12"/>
        <v>453</v>
      </c>
      <c r="P38" s="440">
        <f t="shared" si="12"/>
        <v>552</v>
      </c>
      <c r="Q38" s="440">
        <f t="shared" si="12"/>
        <v>429</v>
      </c>
      <c r="R38" s="440">
        <f t="shared" si="12"/>
        <v>296</v>
      </c>
      <c r="S38" s="440">
        <f t="shared" si="12"/>
        <v>230</v>
      </c>
      <c r="T38" s="440">
        <f t="shared" si="12"/>
        <v>272</v>
      </c>
      <c r="U38" s="440">
        <f t="shared" si="12"/>
        <v>310</v>
      </c>
      <c r="V38" s="440">
        <f t="shared" si="12"/>
        <v>340</v>
      </c>
      <c r="W38" s="440">
        <f t="shared" si="12"/>
        <v>512</v>
      </c>
      <c r="X38" s="440">
        <f t="shared" si="12"/>
        <v>323</v>
      </c>
      <c r="Y38" s="440">
        <f t="shared" si="12"/>
        <v>138</v>
      </c>
      <c r="Z38" s="440">
        <f t="shared" si="12"/>
        <v>103</v>
      </c>
      <c r="AA38" s="440">
        <f t="shared" si="12"/>
        <v>114</v>
      </c>
      <c r="AB38" s="440">
        <f t="shared" si="12"/>
        <v>126</v>
      </c>
      <c r="AC38" s="440">
        <f t="shared" si="12"/>
        <v>174</v>
      </c>
      <c r="AD38" s="440">
        <f t="shared" si="12"/>
        <v>172</v>
      </c>
      <c r="AE38" s="440">
        <f t="shared" si="12"/>
        <v>36</v>
      </c>
      <c r="AF38" s="440">
        <f t="shared" si="12"/>
        <v>0</v>
      </c>
      <c r="AG38" s="441">
        <f t="shared" si="12"/>
        <v>0</v>
      </c>
      <c r="AH38" s="407">
        <f>SUM(C38:AG38)</f>
        <v>7725</v>
      </c>
      <c r="AJ38" s="255"/>
      <c r="AK38" s="256"/>
    </row>
    <row r="39" spans="1:37" x14ac:dyDescent="0.25">
      <c r="A39" s="166"/>
      <c r="B39" s="406" t="s">
        <v>75</v>
      </c>
      <c r="C39" s="138">
        <f>281-C32</f>
        <v>138</v>
      </c>
      <c r="D39" s="138">
        <f>193-D32</f>
        <v>53</v>
      </c>
      <c r="E39" s="138">
        <f>205-E32</f>
        <v>96</v>
      </c>
      <c r="F39" s="138">
        <f>220-F32</f>
        <v>123</v>
      </c>
      <c r="G39" s="138">
        <f>214-G32</f>
        <v>102</v>
      </c>
      <c r="H39" s="138">
        <f>266-H32</f>
        <v>145</v>
      </c>
      <c r="I39" s="138">
        <f>476-I32</f>
        <v>276</v>
      </c>
      <c r="J39" s="138">
        <f>432-J32</f>
        <v>232</v>
      </c>
      <c r="K39" s="138">
        <f>277-K32</f>
        <v>105</v>
      </c>
      <c r="L39" s="138">
        <f>'[1]TEMP Summary'!$T$22</f>
        <v>0</v>
      </c>
      <c r="M39" s="138">
        <f>'[1]TEMP Summary'!$T$22</f>
        <v>0</v>
      </c>
      <c r="N39" s="138">
        <f>'[1]TEMP Summary'!$T$22</f>
        <v>0</v>
      </c>
      <c r="O39" s="138">
        <f>'[1]TEMP Summary'!$T$22</f>
        <v>0</v>
      </c>
      <c r="P39" s="138">
        <f>'[1]TEMP Summary'!$T$22</f>
        <v>0</v>
      </c>
      <c r="Q39" s="138">
        <f>'[1]TEMP Summary'!$T$22</f>
        <v>0</v>
      </c>
      <c r="R39" s="138">
        <f>'[1]TEMP Summary'!$T$22</f>
        <v>0</v>
      </c>
      <c r="S39" s="138">
        <f>'[1]TEMP Summary'!$T$22</f>
        <v>0</v>
      </c>
      <c r="T39" s="138">
        <f>'[1]TEMP Summary'!$T$22</f>
        <v>0</v>
      </c>
      <c r="U39" s="138">
        <f>'[1]TEMP Summary'!$T$22</f>
        <v>0</v>
      </c>
      <c r="V39" s="138">
        <f>'[1]TEMP Summary'!$T$22</f>
        <v>0</v>
      </c>
      <c r="W39" s="138">
        <f>'[1]TEMP Summary'!$T$22</f>
        <v>0</v>
      </c>
      <c r="X39" s="138">
        <f>'[1]TEMP Summary'!$T$22</f>
        <v>0</v>
      </c>
      <c r="Y39" s="138">
        <f>'[1]TEMP Summary'!$T$22</f>
        <v>0</v>
      </c>
      <c r="Z39" s="138">
        <f>'[1]TEMP Summary'!$T$22</f>
        <v>0</v>
      </c>
      <c r="AA39" s="138">
        <f>'[1]TEMP Summary'!$T$22</f>
        <v>0</v>
      </c>
      <c r="AB39" s="138">
        <f>'[1]TEMP Summary'!$T$22</f>
        <v>0</v>
      </c>
      <c r="AC39" s="138">
        <f>'[1]TEMP Summary'!$T$22</f>
        <v>0</v>
      </c>
      <c r="AD39" s="138">
        <f>'[1]TEMP Summary'!$T$22</f>
        <v>0</v>
      </c>
      <c r="AE39" s="138">
        <f>'[1]TEMP Summary'!$T$22</f>
        <v>0</v>
      </c>
      <c r="AF39" s="138">
        <f>'[1]TEMP Summary'!$T$22</f>
        <v>0</v>
      </c>
      <c r="AG39" s="139">
        <f>'[1]TEMP Summary'!$T$22</f>
        <v>0</v>
      </c>
      <c r="AH39" s="140">
        <f t="shared" si="10"/>
        <v>1270</v>
      </c>
      <c r="AJ39" s="255"/>
      <c r="AK39" s="256"/>
    </row>
    <row r="40" spans="1:37" x14ac:dyDescent="0.25">
      <c r="A40" s="166"/>
      <c r="B40" s="141" t="s">
        <v>74</v>
      </c>
      <c r="C40" s="142">
        <f>60-C33</f>
        <v>28</v>
      </c>
      <c r="D40" s="142">
        <f>30-D33</f>
        <v>5</v>
      </c>
      <c r="E40" s="142">
        <f>27-E33</f>
        <v>16</v>
      </c>
      <c r="F40" s="142">
        <f>23-F33</f>
        <v>11</v>
      </c>
      <c r="G40" s="142">
        <f>23-G33</f>
        <v>3</v>
      </c>
      <c r="H40" s="142">
        <f>40-H33</f>
        <v>20</v>
      </c>
      <c r="I40" s="142">
        <f>112-I33</f>
        <v>71</v>
      </c>
      <c r="J40" s="142">
        <f>95-J33</f>
        <v>66</v>
      </c>
      <c r="K40" s="142">
        <f>80-K33</f>
        <v>36</v>
      </c>
      <c r="L40" s="142">
        <f>'[1]TEMP Summary'!$T$22</f>
        <v>0</v>
      </c>
      <c r="M40" s="142">
        <f>'[1]TEMP Summary'!$T$22</f>
        <v>0</v>
      </c>
      <c r="N40" s="142">
        <f>'[1]TEMP Summary'!$T$22</f>
        <v>0</v>
      </c>
      <c r="O40" s="142">
        <f>'[1]TEMP Summary'!$T$22</f>
        <v>0</v>
      </c>
      <c r="P40" s="142">
        <f>'[1]TEMP Summary'!$T$22</f>
        <v>0</v>
      </c>
      <c r="Q40" s="142">
        <f>'[1]TEMP Summary'!$T$22</f>
        <v>0</v>
      </c>
      <c r="R40" s="142">
        <f>'[1]TEMP Summary'!$T$22</f>
        <v>0</v>
      </c>
      <c r="S40" s="142">
        <f>'[1]TEMP Summary'!$T$22</f>
        <v>0</v>
      </c>
      <c r="T40" s="142">
        <f>'[1]TEMP Summary'!$T$22</f>
        <v>0</v>
      </c>
      <c r="U40" s="142">
        <f>'[1]TEMP Summary'!$T$22</f>
        <v>0</v>
      </c>
      <c r="V40" s="142">
        <f>'[1]TEMP Summary'!$T$22</f>
        <v>0</v>
      </c>
      <c r="W40" s="142">
        <f>'[1]TEMP Summary'!$T$22</f>
        <v>0</v>
      </c>
      <c r="X40" s="142">
        <f>'[1]TEMP Summary'!$T$22</f>
        <v>0</v>
      </c>
      <c r="Y40" s="142">
        <f>'[1]TEMP Summary'!$T$22</f>
        <v>0</v>
      </c>
      <c r="Z40" s="142">
        <f>'[1]TEMP Summary'!$T$22</f>
        <v>0</v>
      </c>
      <c r="AA40" s="142">
        <f>'[1]TEMP Summary'!$T$22</f>
        <v>0</v>
      </c>
      <c r="AB40" s="142">
        <f>'[1]TEMP Summary'!$T$22</f>
        <v>0</v>
      </c>
      <c r="AC40" s="142">
        <f>'[1]TEMP Summary'!$T$22</f>
        <v>0</v>
      </c>
      <c r="AD40" s="142">
        <f>'[1]TEMP Summary'!$T$22</f>
        <v>0</v>
      </c>
      <c r="AE40" s="142">
        <f>'[1]TEMP Summary'!$T$22</f>
        <v>0</v>
      </c>
      <c r="AF40" s="142">
        <f>'[1]TEMP Summary'!$T$22</f>
        <v>0</v>
      </c>
      <c r="AG40" s="143">
        <f>'[1]TEMP Summary'!$T$22</f>
        <v>0</v>
      </c>
      <c r="AH40" s="140">
        <f t="shared" si="10"/>
        <v>256</v>
      </c>
      <c r="AJ40" s="255"/>
      <c r="AK40" s="256"/>
    </row>
    <row r="41" spans="1:37" x14ac:dyDescent="0.25">
      <c r="A41" s="166"/>
      <c r="B41" s="141" t="s">
        <v>199</v>
      </c>
      <c r="C41" s="142">
        <f>9-C34</f>
        <v>6</v>
      </c>
      <c r="D41" s="142">
        <f>3-D34</f>
        <v>1</v>
      </c>
      <c r="E41" s="142">
        <f>3-E34</f>
        <v>2</v>
      </c>
      <c r="F41" s="142">
        <f>'[1]TEMP Summary'!$T$22</f>
        <v>0</v>
      </c>
      <c r="G41" s="142">
        <v>1</v>
      </c>
      <c r="H41" s="142">
        <f>5-H34</f>
        <v>4</v>
      </c>
      <c r="I41" s="142">
        <v>12</v>
      </c>
      <c r="J41" s="142">
        <f>10-J34</f>
        <v>9</v>
      </c>
      <c r="K41" s="142">
        <f>9-K34</f>
        <v>5</v>
      </c>
      <c r="L41" s="142">
        <f>'[1]TEMP Summary'!$T$22</f>
        <v>0</v>
      </c>
      <c r="M41" s="142">
        <f>'[1]TEMP Summary'!$T$22</f>
        <v>0</v>
      </c>
      <c r="N41" s="142">
        <f>'[1]TEMP Summary'!$T$22</f>
        <v>0</v>
      </c>
      <c r="O41" s="142">
        <f>'[1]TEMP Summary'!$T$22</f>
        <v>0</v>
      </c>
      <c r="P41" s="142">
        <f>'[1]TEMP Summary'!$T$22</f>
        <v>0</v>
      </c>
      <c r="Q41" s="142">
        <f>'[1]TEMP Summary'!$T$22</f>
        <v>0</v>
      </c>
      <c r="R41" s="142">
        <f>'[1]TEMP Summary'!$T$22</f>
        <v>0</v>
      </c>
      <c r="S41" s="142">
        <f>'[1]TEMP Summary'!$T$22</f>
        <v>0</v>
      </c>
      <c r="T41" s="142">
        <f>'[1]TEMP Summary'!$T$22</f>
        <v>0</v>
      </c>
      <c r="U41" s="142">
        <f>'[1]TEMP Summary'!$T$22</f>
        <v>0</v>
      </c>
      <c r="V41" s="142">
        <f>'[1]TEMP Summary'!$T$22</f>
        <v>0</v>
      </c>
      <c r="W41" s="142">
        <f>'[1]TEMP Summary'!$T$22</f>
        <v>0</v>
      </c>
      <c r="X41" s="142">
        <f>'[1]TEMP Summary'!$T$22</f>
        <v>0</v>
      </c>
      <c r="Y41" s="142">
        <f>'[1]TEMP Summary'!$T$22</f>
        <v>0</v>
      </c>
      <c r="Z41" s="142">
        <f>'[1]TEMP Summary'!$T$22</f>
        <v>0</v>
      </c>
      <c r="AA41" s="142">
        <f>'[1]TEMP Summary'!$T$22</f>
        <v>0</v>
      </c>
      <c r="AB41" s="142">
        <f>'[1]TEMP Summary'!$T$22</f>
        <v>0</v>
      </c>
      <c r="AC41" s="142">
        <f>'[1]TEMP Summary'!$T$22</f>
        <v>0</v>
      </c>
      <c r="AD41" s="142">
        <f>'[1]TEMP Summary'!$T$22</f>
        <v>0</v>
      </c>
      <c r="AE41" s="142">
        <f>'[1]TEMP Summary'!$T$22</f>
        <v>0</v>
      </c>
      <c r="AF41" s="142">
        <f>'[1]TEMP Summary'!$T$22</f>
        <v>0</v>
      </c>
      <c r="AG41" s="143">
        <f>'[1]TEMP Summary'!$T$22</f>
        <v>0</v>
      </c>
      <c r="AH41" s="140">
        <f t="shared" si="10"/>
        <v>40</v>
      </c>
      <c r="AJ41" s="255"/>
      <c r="AK41" s="256"/>
    </row>
    <row r="42" spans="1:37" x14ac:dyDescent="0.25">
      <c r="A42" s="166"/>
      <c r="B42" s="141" t="s">
        <v>72</v>
      </c>
      <c r="C42" s="142">
        <f>'[1]TEMP Summary'!$T$22</f>
        <v>0</v>
      </c>
      <c r="D42" s="142">
        <f>'[1]TEMP Summary'!$T$22</f>
        <v>0</v>
      </c>
      <c r="E42" s="142">
        <f>'[1]TEMP Summary'!$T$22</f>
        <v>0</v>
      </c>
      <c r="F42" s="142">
        <f>'[1]TEMP Summary'!$T$22</f>
        <v>0</v>
      </c>
      <c r="G42" s="142">
        <f>'[1]TEMP Summary'!$T$22</f>
        <v>0</v>
      </c>
      <c r="H42" s="142">
        <f>'[1]TEMP Summary'!$T$22</f>
        <v>0</v>
      </c>
      <c r="I42" s="142">
        <f>'[1]TEMP Summary'!$T$22</f>
        <v>0</v>
      </c>
      <c r="J42" s="142">
        <f>'[1]TEMP Summary'!$T$22</f>
        <v>0</v>
      </c>
      <c r="K42" s="142">
        <f>'[1]TEMP Summary'!$T$22</f>
        <v>0</v>
      </c>
      <c r="L42" s="142">
        <f>'[1]TEMP Summary'!$T$22</f>
        <v>0</v>
      </c>
      <c r="M42" s="142">
        <f>'[1]TEMP Summary'!$T$22</f>
        <v>0</v>
      </c>
      <c r="N42" s="142">
        <f>'[1]TEMP Summary'!$T$22</f>
        <v>0</v>
      </c>
      <c r="O42" s="142">
        <f>'[1]TEMP Summary'!$T$22</f>
        <v>0</v>
      </c>
      <c r="P42" s="142">
        <f>'[1]TEMP Summary'!$T$22</f>
        <v>0</v>
      </c>
      <c r="Q42" s="142">
        <f>'[1]TEMP Summary'!$T$22</f>
        <v>0</v>
      </c>
      <c r="R42" s="142">
        <f>'[1]TEMP Summary'!$T$22</f>
        <v>0</v>
      </c>
      <c r="S42" s="142">
        <f>'[1]TEMP Summary'!$T$22</f>
        <v>0</v>
      </c>
      <c r="T42" s="142">
        <f>'[1]TEMP Summary'!$T$22</f>
        <v>0</v>
      </c>
      <c r="U42" s="142">
        <f>'[1]TEMP Summary'!$T$22</f>
        <v>0</v>
      </c>
      <c r="V42" s="142">
        <f>'[1]TEMP Summary'!$T$22</f>
        <v>0</v>
      </c>
      <c r="W42" s="142">
        <f>'[1]TEMP Summary'!$T$22</f>
        <v>0</v>
      </c>
      <c r="X42" s="142">
        <f>'[1]TEMP Summary'!$T$22</f>
        <v>0</v>
      </c>
      <c r="Y42" s="142">
        <f>'[1]TEMP Summary'!$T$22</f>
        <v>0</v>
      </c>
      <c r="Z42" s="142">
        <f>'[1]TEMP Summary'!$T$22</f>
        <v>0</v>
      </c>
      <c r="AA42" s="142">
        <f>'[1]TEMP Summary'!$T$22</f>
        <v>0</v>
      </c>
      <c r="AB42" s="142">
        <f>'[1]TEMP Summary'!$T$22</f>
        <v>0</v>
      </c>
      <c r="AC42" s="142">
        <f>'[1]TEMP Summary'!$T$22</f>
        <v>0</v>
      </c>
      <c r="AD42" s="142">
        <f>'[1]TEMP Summary'!$T$22</f>
        <v>0</v>
      </c>
      <c r="AE42" s="142">
        <f>'[1]TEMP Summary'!$T$22</f>
        <v>0</v>
      </c>
      <c r="AF42" s="142">
        <f>'[1]TEMP Summary'!$T$22</f>
        <v>0</v>
      </c>
      <c r="AG42" s="143">
        <f>'[1]TEMP Summary'!$T$22</f>
        <v>0</v>
      </c>
      <c r="AH42" s="140">
        <f t="shared" si="10"/>
        <v>0</v>
      </c>
      <c r="AJ42" s="255"/>
      <c r="AK42" s="256"/>
    </row>
    <row r="43" spans="1:37" x14ac:dyDescent="0.25">
      <c r="A43" s="166"/>
      <c r="B43" s="141" t="s">
        <v>73</v>
      </c>
      <c r="C43" s="142">
        <f>112-C36</f>
        <v>51</v>
      </c>
      <c r="D43" s="142">
        <f>94-D36</f>
        <v>16</v>
      </c>
      <c r="E43" s="142">
        <f>133-E36</f>
        <v>63</v>
      </c>
      <c r="F43" s="142">
        <f>78-F36</f>
        <v>25</v>
      </c>
      <c r="G43" s="142">
        <f>118-G36</f>
        <v>49</v>
      </c>
      <c r="H43" s="142">
        <f>85-H36</f>
        <v>32</v>
      </c>
      <c r="I43" s="142">
        <f>97-I36</f>
        <v>54</v>
      </c>
      <c r="J43" s="142">
        <f>78-J36</f>
        <v>38</v>
      </c>
      <c r="K43" s="142">
        <f>92-K36</f>
        <v>43</v>
      </c>
      <c r="L43" s="142">
        <f>'[1]TEMP Summary'!$T$22</f>
        <v>0</v>
      </c>
      <c r="M43" s="142">
        <f>'[1]TEMP Summary'!$T$22</f>
        <v>0</v>
      </c>
      <c r="N43" s="142">
        <f>'[1]TEMP Summary'!$T$22</f>
        <v>0</v>
      </c>
      <c r="O43" s="142">
        <f>'[1]TEMP Summary'!$T$22</f>
        <v>0</v>
      </c>
      <c r="P43" s="142">
        <f>'[1]TEMP Summary'!$T$22</f>
        <v>0</v>
      </c>
      <c r="Q43" s="142">
        <f>'[1]TEMP Summary'!$T$22</f>
        <v>0</v>
      </c>
      <c r="R43" s="142">
        <f>'[1]TEMP Summary'!$T$22</f>
        <v>0</v>
      </c>
      <c r="S43" s="142">
        <f>'[1]TEMP Summary'!$T$22</f>
        <v>0</v>
      </c>
      <c r="T43" s="142">
        <f>'[1]TEMP Summary'!$T$22</f>
        <v>0</v>
      </c>
      <c r="U43" s="142">
        <f>'[1]TEMP Summary'!$T$22</f>
        <v>0</v>
      </c>
      <c r="V43" s="142">
        <f>'[1]TEMP Summary'!$T$22</f>
        <v>0</v>
      </c>
      <c r="W43" s="142">
        <f>'[1]TEMP Summary'!$T$22</f>
        <v>0</v>
      </c>
      <c r="X43" s="142">
        <f>'[1]TEMP Summary'!$T$22</f>
        <v>0</v>
      </c>
      <c r="Y43" s="142">
        <f>'[1]TEMP Summary'!$T$22</f>
        <v>0</v>
      </c>
      <c r="Z43" s="142">
        <f>'[1]TEMP Summary'!$T$22</f>
        <v>0</v>
      </c>
      <c r="AA43" s="142">
        <f>'[1]TEMP Summary'!$T$22</f>
        <v>0</v>
      </c>
      <c r="AB43" s="142">
        <f>'[1]TEMP Summary'!$T$22</f>
        <v>0</v>
      </c>
      <c r="AC43" s="142">
        <f>'[1]TEMP Summary'!$T$22</f>
        <v>0</v>
      </c>
      <c r="AD43" s="142">
        <f>'[1]TEMP Summary'!$T$22</f>
        <v>0</v>
      </c>
      <c r="AE43" s="142">
        <f>'[1]TEMP Summary'!$T$22</f>
        <v>0</v>
      </c>
      <c r="AF43" s="142">
        <f>'[1]TEMP Summary'!$T$22</f>
        <v>0</v>
      </c>
      <c r="AG43" s="143">
        <f>'[1]TEMP Summary'!$T$22</f>
        <v>0</v>
      </c>
      <c r="AH43" s="140">
        <f t="shared" si="10"/>
        <v>371</v>
      </c>
      <c r="AJ43" s="255"/>
      <c r="AK43" s="256"/>
    </row>
    <row r="44" spans="1:37" x14ac:dyDescent="0.25">
      <c r="A44" s="166"/>
      <c r="B44" s="141" t="s">
        <v>71</v>
      </c>
      <c r="C44" s="142">
        <f>5-C37</f>
        <v>3</v>
      </c>
      <c r="D44" s="142">
        <f>12-D37</f>
        <v>3</v>
      </c>
      <c r="E44" s="142">
        <f>16-E37</f>
        <v>6</v>
      </c>
      <c r="F44" s="142">
        <f>15-F37</f>
        <v>3</v>
      </c>
      <c r="G44" s="142">
        <f>25-G37</f>
        <v>4</v>
      </c>
      <c r="H44" s="142">
        <f>22-H37</f>
        <v>13</v>
      </c>
      <c r="I44" s="142">
        <f>18-I37</f>
        <v>8</v>
      </c>
      <c r="J44" s="142">
        <f>21-J37</f>
        <v>14</v>
      </c>
      <c r="K44" s="142">
        <f>15-K37</f>
        <v>11</v>
      </c>
      <c r="L44" s="142">
        <f>'[1]TEMP Summary'!$T$22</f>
        <v>0</v>
      </c>
      <c r="M44" s="142">
        <f>'[1]TEMP Summary'!$T$22</f>
        <v>0</v>
      </c>
      <c r="N44" s="142">
        <f>'[1]TEMP Summary'!$T$22</f>
        <v>0</v>
      </c>
      <c r="O44" s="142">
        <f>'[1]TEMP Summary'!$T$22</f>
        <v>0</v>
      </c>
      <c r="P44" s="142">
        <f>'[1]TEMP Summary'!$T$22</f>
        <v>0</v>
      </c>
      <c r="Q44" s="142">
        <f>'[1]TEMP Summary'!$T$22</f>
        <v>0</v>
      </c>
      <c r="R44" s="142">
        <f>'[1]TEMP Summary'!$T$22</f>
        <v>0</v>
      </c>
      <c r="S44" s="142">
        <f>'[1]TEMP Summary'!$T$22</f>
        <v>0</v>
      </c>
      <c r="T44" s="142">
        <f>'[1]TEMP Summary'!$T$22</f>
        <v>0</v>
      </c>
      <c r="U44" s="142">
        <f>'[1]TEMP Summary'!$T$22</f>
        <v>0</v>
      </c>
      <c r="V44" s="142">
        <f>'[1]TEMP Summary'!$T$22</f>
        <v>0</v>
      </c>
      <c r="W44" s="142">
        <f>'[1]TEMP Summary'!$T$22</f>
        <v>0</v>
      </c>
      <c r="X44" s="142">
        <f>'[1]TEMP Summary'!$T$22</f>
        <v>0</v>
      </c>
      <c r="Y44" s="142">
        <f>'[1]TEMP Summary'!$T$22</f>
        <v>0</v>
      </c>
      <c r="Z44" s="142">
        <f>'[1]TEMP Summary'!$T$22</f>
        <v>0</v>
      </c>
      <c r="AA44" s="142">
        <f>'[1]TEMP Summary'!$T$22</f>
        <v>0</v>
      </c>
      <c r="AB44" s="142">
        <f>'[1]TEMP Summary'!$T$22</f>
        <v>0</v>
      </c>
      <c r="AC44" s="142">
        <f>'[1]TEMP Summary'!$T$22</f>
        <v>0</v>
      </c>
      <c r="AD44" s="142">
        <f>'[1]TEMP Summary'!$T$22</f>
        <v>0</v>
      </c>
      <c r="AE44" s="142">
        <f>'[1]TEMP Summary'!$T$22</f>
        <v>0</v>
      </c>
      <c r="AF44" s="142">
        <f>'[1]TEMP Summary'!$T$22</f>
        <v>0</v>
      </c>
      <c r="AG44" s="143">
        <f>'[1]TEMP Summary'!$T$22</f>
        <v>0</v>
      </c>
      <c r="AH44" s="140">
        <f t="shared" si="10"/>
        <v>65</v>
      </c>
      <c r="AJ44" s="255"/>
      <c r="AK44" s="257"/>
    </row>
    <row r="45" spans="1:37" x14ac:dyDescent="0.25">
      <c r="A45" s="166"/>
      <c r="B45" s="442" t="s">
        <v>182</v>
      </c>
      <c r="C45" s="439">
        <f t="shared" ref="C45:AG45" si="13">SUM(C39:C44)</f>
        <v>226</v>
      </c>
      <c r="D45" s="439">
        <f t="shared" si="13"/>
        <v>78</v>
      </c>
      <c r="E45" s="439">
        <f t="shared" si="13"/>
        <v>183</v>
      </c>
      <c r="F45" s="439">
        <f t="shared" si="13"/>
        <v>162</v>
      </c>
      <c r="G45" s="439">
        <f t="shared" si="13"/>
        <v>159</v>
      </c>
      <c r="H45" s="439">
        <f t="shared" si="13"/>
        <v>214</v>
      </c>
      <c r="I45" s="439">
        <f t="shared" si="13"/>
        <v>421</v>
      </c>
      <c r="J45" s="439">
        <f t="shared" si="13"/>
        <v>359</v>
      </c>
      <c r="K45" s="439">
        <f t="shared" si="13"/>
        <v>200</v>
      </c>
      <c r="L45" s="439">
        <f t="shared" si="13"/>
        <v>0</v>
      </c>
      <c r="M45" s="439">
        <f t="shared" si="13"/>
        <v>0</v>
      </c>
      <c r="N45" s="439">
        <f t="shared" si="13"/>
        <v>0</v>
      </c>
      <c r="O45" s="439">
        <f t="shared" si="13"/>
        <v>0</v>
      </c>
      <c r="P45" s="439">
        <f t="shared" si="13"/>
        <v>0</v>
      </c>
      <c r="Q45" s="439">
        <f t="shared" si="13"/>
        <v>0</v>
      </c>
      <c r="R45" s="439">
        <f t="shared" si="13"/>
        <v>0</v>
      </c>
      <c r="S45" s="439">
        <f t="shared" si="13"/>
        <v>0</v>
      </c>
      <c r="T45" s="439">
        <f t="shared" si="13"/>
        <v>0</v>
      </c>
      <c r="U45" s="439">
        <f t="shared" si="13"/>
        <v>0</v>
      </c>
      <c r="V45" s="439">
        <f t="shared" si="13"/>
        <v>0</v>
      </c>
      <c r="W45" s="439">
        <f t="shared" si="13"/>
        <v>0</v>
      </c>
      <c r="X45" s="439">
        <f t="shared" si="13"/>
        <v>0</v>
      </c>
      <c r="Y45" s="439">
        <f t="shared" si="13"/>
        <v>0</v>
      </c>
      <c r="Z45" s="439">
        <f t="shared" si="13"/>
        <v>0</v>
      </c>
      <c r="AA45" s="439">
        <f t="shared" si="13"/>
        <v>0</v>
      </c>
      <c r="AB45" s="439">
        <f t="shared" si="13"/>
        <v>0</v>
      </c>
      <c r="AC45" s="439">
        <f t="shared" si="13"/>
        <v>0</v>
      </c>
      <c r="AD45" s="439">
        <f t="shared" si="13"/>
        <v>0</v>
      </c>
      <c r="AE45" s="439">
        <f t="shared" si="13"/>
        <v>0</v>
      </c>
      <c r="AF45" s="439">
        <f t="shared" si="13"/>
        <v>0</v>
      </c>
      <c r="AG45" s="441">
        <f t="shared" si="13"/>
        <v>0</v>
      </c>
      <c r="AH45" s="405">
        <f>SUM(C45:AG45)</f>
        <v>2002</v>
      </c>
      <c r="AJ45" s="404"/>
      <c r="AK45" s="403"/>
    </row>
    <row r="46" spans="1:37" s="168" customFormat="1" ht="15.75" thickBot="1" x14ac:dyDescent="0.3">
      <c r="A46" s="167"/>
      <c r="B46" s="144" t="s">
        <v>76</v>
      </c>
      <c r="C46" s="145">
        <f t="shared" ref="C46:AG46" si="14">SUM(C32:C37,C39:C44)</f>
        <v>467</v>
      </c>
      <c r="D46" s="145">
        <f t="shared" si="14"/>
        <v>332</v>
      </c>
      <c r="E46" s="145">
        <f t="shared" si="14"/>
        <v>384</v>
      </c>
      <c r="F46" s="145">
        <f t="shared" si="14"/>
        <v>336</v>
      </c>
      <c r="G46" s="145">
        <f t="shared" si="14"/>
        <v>381</v>
      </c>
      <c r="H46" s="145">
        <f t="shared" si="14"/>
        <v>420</v>
      </c>
      <c r="I46" s="145">
        <f t="shared" si="14"/>
        <v>715</v>
      </c>
      <c r="J46" s="145">
        <f t="shared" si="14"/>
        <v>636</v>
      </c>
      <c r="K46" s="145">
        <f t="shared" si="14"/>
        <v>473</v>
      </c>
      <c r="L46" s="145">
        <f t="shared" si="14"/>
        <v>399</v>
      </c>
      <c r="M46" s="145">
        <f t="shared" si="14"/>
        <v>363</v>
      </c>
      <c r="N46" s="145">
        <f t="shared" si="14"/>
        <v>241</v>
      </c>
      <c r="O46" s="145">
        <f t="shared" si="14"/>
        <v>453</v>
      </c>
      <c r="P46" s="145">
        <f t="shared" si="14"/>
        <v>552</v>
      </c>
      <c r="Q46" s="145">
        <f t="shared" si="14"/>
        <v>429</v>
      </c>
      <c r="R46" s="145">
        <f t="shared" si="14"/>
        <v>296</v>
      </c>
      <c r="S46" s="145">
        <f t="shared" si="14"/>
        <v>230</v>
      </c>
      <c r="T46" s="145">
        <f t="shared" si="14"/>
        <v>272</v>
      </c>
      <c r="U46" s="145">
        <f t="shared" si="14"/>
        <v>310</v>
      </c>
      <c r="V46" s="145">
        <f t="shared" si="14"/>
        <v>340</v>
      </c>
      <c r="W46" s="145">
        <f t="shared" si="14"/>
        <v>512</v>
      </c>
      <c r="X46" s="145">
        <f t="shared" si="14"/>
        <v>323</v>
      </c>
      <c r="Y46" s="145">
        <f t="shared" si="14"/>
        <v>138</v>
      </c>
      <c r="Z46" s="145">
        <f t="shared" si="14"/>
        <v>103</v>
      </c>
      <c r="AA46" s="145">
        <f t="shared" si="14"/>
        <v>114</v>
      </c>
      <c r="AB46" s="145">
        <f t="shared" si="14"/>
        <v>126</v>
      </c>
      <c r="AC46" s="145">
        <f t="shared" si="14"/>
        <v>174</v>
      </c>
      <c r="AD46" s="145">
        <f t="shared" si="14"/>
        <v>172</v>
      </c>
      <c r="AE46" s="145">
        <f t="shared" si="14"/>
        <v>36</v>
      </c>
      <c r="AF46" s="145">
        <f t="shared" si="14"/>
        <v>0</v>
      </c>
      <c r="AG46" s="260">
        <f t="shared" si="14"/>
        <v>0</v>
      </c>
      <c r="AH46" s="146">
        <f>SUM(AH32:AH37,AH39:AH44)</f>
        <v>9727</v>
      </c>
      <c r="AJ46" s="258">
        <f>AH46</f>
        <v>9727</v>
      </c>
      <c r="AK46" s="259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D10" sqref="AD10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68" t="s">
        <v>209</v>
      </c>
      <c r="B1" s="376" t="str">
        <f>'Cash Flow'!C1</f>
        <v>October</v>
      </c>
      <c r="C1" s="226" t="str">
        <f t="array" ref="C1:AG1">TRANSPOSE('Cash Flow'!B8:B38)</f>
        <v>Sun</v>
      </c>
      <c r="D1" s="226" t="str">
        <v>Mon</v>
      </c>
      <c r="E1" s="226" t="str">
        <v>Tue</v>
      </c>
      <c r="F1" s="226" t="str">
        <v>Wed</v>
      </c>
      <c r="G1" s="226" t="str">
        <v>Thu</v>
      </c>
      <c r="H1" s="226" t="str">
        <v>Fri</v>
      </c>
      <c r="I1" s="226" t="str">
        <v>Sat</v>
      </c>
      <c r="J1" s="226" t="str">
        <v>Sun</v>
      </c>
      <c r="K1" s="226" t="str">
        <v>Mon</v>
      </c>
      <c r="L1" s="226" t="str">
        <v>Tue</v>
      </c>
      <c r="M1" s="226" t="str">
        <v>Wed</v>
      </c>
      <c r="N1" s="226" t="str">
        <v>Thu</v>
      </c>
      <c r="O1" s="226" t="str">
        <v>Fri</v>
      </c>
      <c r="P1" s="226" t="str">
        <v>Sat</v>
      </c>
      <c r="Q1" s="226" t="str">
        <v>Sun</v>
      </c>
      <c r="R1" s="226" t="str">
        <v>Mon</v>
      </c>
      <c r="S1" s="226" t="str">
        <v>Tue</v>
      </c>
      <c r="T1" s="226" t="str">
        <v>Wed</v>
      </c>
      <c r="U1" s="226" t="str">
        <v>Thu</v>
      </c>
      <c r="V1" s="226" t="str">
        <v>Fri</v>
      </c>
      <c r="W1" s="226" t="str">
        <v>Sat</v>
      </c>
      <c r="X1" s="226" t="str">
        <v>Sun</v>
      </c>
      <c r="Y1" s="226" t="str">
        <v>Mon</v>
      </c>
      <c r="Z1" s="226" t="str">
        <v>Tue</v>
      </c>
      <c r="AA1" s="226" t="str">
        <v>Wed</v>
      </c>
      <c r="AB1" s="226" t="str">
        <v>Thu</v>
      </c>
      <c r="AC1" s="226" t="str">
        <v>Fri</v>
      </c>
      <c r="AD1" s="226" t="str">
        <v>Sat</v>
      </c>
      <c r="AE1" s="226" t="str">
        <v>Sun</v>
      </c>
      <c r="AF1" s="226" t="str">
        <v>Mon</v>
      </c>
      <c r="AG1" s="226" t="str">
        <v>Tue</v>
      </c>
    </row>
    <row r="2" spans="1:40" s="60" customFormat="1" ht="16.5" thickBot="1" x14ac:dyDescent="0.3">
      <c r="A2" s="63" t="s">
        <v>66</v>
      </c>
      <c r="B2" s="64" t="s">
        <v>128</v>
      </c>
      <c r="C2" s="104">
        <f>'Cash Flow'!A8</f>
        <v>45200</v>
      </c>
      <c r="D2" s="104">
        <f>C2+1</f>
        <v>45201</v>
      </c>
      <c r="E2" s="104">
        <f>D2+1</f>
        <v>45202</v>
      </c>
      <c r="F2" s="104">
        <f t="shared" ref="F2:AG2" si="0">E2+1</f>
        <v>45203</v>
      </c>
      <c r="G2" s="104">
        <f t="shared" si="0"/>
        <v>45204</v>
      </c>
      <c r="H2" s="104">
        <f t="shared" si="0"/>
        <v>45205</v>
      </c>
      <c r="I2" s="104">
        <f t="shared" si="0"/>
        <v>45206</v>
      </c>
      <c r="J2" s="104">
        <f t="shared" si="0"/>
        <v>45207</v>
      </c>
      <c r="K2" s="104">
        <f t="shared" si="0"/>
        <v>45208</v>
      </c>
      <c r="L2" s="104">
        <f t="shared" si="0"/>
        <v>45209</v>
      </c>
      <c r="M2" s="104">
        <f t="shared" si="0"/>
        <v>45210</v>
      </c>
      <c r="N2" s="104">
        <f t="shared" si="0"/>
        <v>45211</v>
      </c>
      <c r="O2" s="104">
        <f t="shared" si="0"/>
        <v>45212</v>
      </c>
      <c r="P2" s="104">
        <f t="shared" si="0"/>
        <v>45213</v>
      </c>
      <c r="Q2" s="104">
        <f t="shared" si="0"/>
        <v>45214</v>
      </c>
      <c r="R2" s="104">
        <f t="shared" si="0"/>
        <v>45215</v>
      </c>
      <c r="S2" s="104">
        <f t="shared" si="0"/>
        <v>45216</v>
      </c>
      <c r="T2" s="104">
        <f t="shared" si="0"/>
        <v>45217</v>
      </c>
      <c r="U2" s="104">
        <f t="shared" si="0"/>
        <v>45218</v>
      </c>
      <c r="V2" s="104">
        <f t="shared" si="0"/>
        <v>45219</v>
      </c>
      <c r="W2" s="104">
        <f t="shared" si="0"/>
        <v>45220</v>
      </c>
      <c r="X2" s="104">
        <f t="shared" si="0"/>
        <v>45221</v>
      </c>
      <c r="Y2" s="104">
        <f t="shared" si="0"/>
        <v>45222</v>
      </c>
      <c r="Z2" s="104">
        <f t="shared" si="0"/>
        <v>45223</v>
      </c>
      <c r="AA2" s="104">
        <f t="shared" si="0"/>
        <v>45224</v>
      </c>
      <c r="AB2" s="104">
        <f t="shared" si="0"/>
        <v>45225</v>
      </c>
      <c r="AC2" s="104">
        <f t="shared" si="0"/>
        <v>45226</v>
      </c>
      <c r="AD2" s="104">
        <f t="shared" si="0"/>
        <v>45227</v>
      </c>
      <c r="AE2" s="104">
        <f t="shared" si="0"/>
        <v>45228</v>
      </c>
      <c r="AF2" s="104">
        <f t="shared" si="0"/>
        <v>45229</v>
      </c>
      <c r="AG2" s="104">
        <f t="shared" si="0"/>
        <v>45230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2.37</v>
      </c>
      <c r="D3" s="183">
        <v>19.649999999999999</v>
      </c>
      <c r="E3" s="183">
        <v>1.98</v>
      </c>
      <c r="F3" s="183">
        <v>5.96</v>
      </c>
      <c r="G3" s="183">
        <v>2.56</v>
      </c>
      <c r="H3" s="183">
        <v>1.74</v>
      </c>
      <c r="I3" s="183">
        <v>12.41</v>
      </c>
      <c r="J3" s="183">
        <v>12.57</v>
      </c>
      <c r="K3" s="183">
        <v>3.45</v>
      </c>
      <c r="L3" s="183">
        <v>1.99</v>
      </c>
      <c r="M3" s="183">
        <v>2.27</v>
      </c>
      <c r="N3" s="183">
        <v>0.33</v>
      </c>
      <c r="O3" s="183">
        <v>6.38</v>
      </c>
      <c r="P3" s="183">
        <v>3.26</v>
      </c>
      <c r="Q3" s="183">
        <v>4.62</v>
      </c>
      <c r="R3" s="183">
        <v>2.5499999999999998</v>
      </c>
      <c r="S3" s="183"/>
      <c r="T3" s="183">
        <v>0.14000000000000001</v>
      </c>
      <c r="U3" s="183"/>
      <c r="V3" s="183">
        <v>1.89</v>
      </c>
      <c r="W3" s="183">
        <v>2.27</v>
      </c>
      <c r="X3" s="183">
        <v>2.27</v>
      </c>
      <c r="Y3" s="183">
        <v>1.18</v>
      </c>
      <c r="Z3" s="183"/>
      <c r="AA3" s="183">
        <v>9.1999999999999993</v>
      </c>
      <c r="AB3" s="183"/>
      <c r="AC3" s="183">
        <v>2.27</v>
      </c>
      <c r="AD3" s="183">
        <v>0.33</v>
      </c>
      <c r="AE3" s="183"/>
      <c r="AF3" s="183"/>
      <c r="AG3" s="183"/>
      <c r="AH3" s="106">
        <f>SUM(C3:AG3)</f>
        <v>103.64</v>
      </c>
      <c r="AJ3" s="66" t="s">
        <v>61</v>
      </c>
      <c r="AK3" s="67" t="s">
        <v>62</v>
      </c>
      <c r="AL3" s="208"/>
      <c r="AM3" s="208"/>
    </row>
    <row r="4" spans="1:40" x14ac:dyDescent="0.25">
      <c r="A4" s="69" t="s">
        <v>210</v>
      </c>
      <c r="B4" s="70" t="s">
        <v>211</v>
      </c>
      <c r="C4" s="71">
        <v>24.98</v>
      </c>
      <c r="D4" s="72">
        <v>207.87</v>
      </c>
      <c r="E4" s="71">
        <v>20.98</v>
      </c>
      <c r="F4" s="71">
        <v>62.98</v>
      </c>
      <c r="G4" s="71">
        <v>26.99</v>
      </c>
      <c r="H4" s="71">
        <v>18.48</v>
      </c>
      <c r="I4" s="71">
        <v>131.37</v>
      </c>
      <c r="J4" s="71">
        <v>132.81</v>
      </c>
      <c r="K4" s="71">
        <v>36.5</v>
      </c>
      <c r="L4" s="71">
        <v>20.99</v>
      </c>
      <c r="M4" s="71">
        <v>24</v>
      </c>
      <c r="N4" s="71">
        <v>3.49</v>
      </c>
      <c r="O4" s="71">
        <v>67.430000000000007</v>
      </c>
      <c r="P4" s="71">
        <v>34.5</v>
      </c>
      <c r="Q4" s="71">
        <v>48.98</v>
      </c>
      <c r="R4" s="71">
        <v>26.99</v>
      </c>
      <c r="S4" s="71"/>
      <c r="T4" s="71">
        <v>1.5</v>
      </c>
      <c r="U4" s="71"/>
      <c r="V4" s="71">
        <v>20</v>
      </c>
      <c r="W4" s="71">
        <v>23.99</v>
      </c>
      <c r="X4" s="71">
        <v>24</v>
      </c>
      <c r="Y4" s="71">
        <v>12.5</v>
      </c>
      <c r="Z4" s="71"/>
      <c r="AA4" s="71">
        <v>97.3</v>
      </c>
      <c r="AB4" s="71"/>
      <c r="AC4" s="71">
        <v>23.99</v>
      </c>
      <c r="AD4" s="71">
        <v>3.49</v>
      </c>
      <c r="AE4" s="71"/>
      <c r="AF4" s="71"/>
      <c r="AG4" s="71"/>
      <c r="AH4" s="106">
        <f t="shared" ref="AH4:AH6" si="1">SUM(C4:AG4)</f>
        <v>1096.1100000000001</v>
      </c>
      <c r="AJ4" s="69" t="s">
        <v>210</v>
      </c>
      <c r="AK4" s="70" t="s">
        <v>211</v>
      </c>
      <c r="AL4" s="208"/>
      <c r="AM4" s="208"/>
    </row>
    <row r="5" spans="1:40" x14ac:dyDescent="0.25">
      <c r="A5" s="66" t="s">
        <v>210</v>
      </c>
      <c r="B5" s="67" t="s">
        <v>235</v>
      </c>
      <c r="C5" s="68">
        <v>25</v>
      </c>
      <c r="D5" s="183">
        <v>25</v>
      </c>
      <c r="E5" s="68"/>
      <c r="F5" s="68">
        <v>1</v>
      </c>
      <c r="G5" s="68">
        <v>1</v>
      </c>
      <c r="H5" s="68"/>
      <c r="I5" s="68">
        <v>25</v>
      </c>
      <c r="J5" s="68">
        <v>25</v>
      </c>
      <c r="K5" s="68"/>
      <c r="L5" s="68"/>
      <c r="M5" s="68"/>
      <c r="N5" s="68"/>
      <c r="O5" s="68">
        <v>30</v>
      </c>
      <c r="P5" s="68">
        <v>25</v>
      </c>
      <c r="Q5" s="68">
        <v>25</v>
      </c>
      <c r="R5" s="68"/>
      <c r="S5" s="68"/>
      <c r="T5" s="68">
        <v>21</v>
      </c>
      <c r="U5" s="68"/>
      <c r="V5" s="68"/>
      <c r="W5" s="68">
        <v>25</v>
      </c>
      <c r="X5" s="68">
        <v>25</v>
      </c>
      <c r="Y5" s="68"/>
      <c r="Z5" s="68"/>
      <c r="AA5" s="68"/>
      <c r="AB5" s="68"/>
      <c r="AC5" s="68"/>
      <c r="AD5" s="68"/>
      <c r="AE5" s="68"/>
      <c r="AF5" s="68"/>
      <c r="AG5" s="68"/>
      <c r="AH5" s="106">
        <f t="shared" si="1"/>
        <v>253</v>
      </c>
      <c r="AJ5" s="66" t="s">
        <v>210</v>
      </c>
      <c r="AK5" s="67" t="s">
        <v>235</v>
      </c>
      <c r="AL5" s="208"/>
      <c r="AM5" s="208"/>
    </row>
    <row r="6" spans="1:40" ht="16.5" thickBot="1" x14ac:dyDescent="0.3">
      <c r="A6" s="66" t="s">
        <v>210</v>
      </c>
      <c r="B6" s="67" t="s">
        <v>233</v>
      </c>
      <c r="C6" s="68"/>
      <c r="D6" s="183">
        <v>50.5</v>
      </c>
      <c r="E6" s="68"/>
      <c r="F6" s="68"/>
      <c r="G6" s="68"/>
      <c r="H6" s="68"/>
      <c r="I6" s="68"/>
      <c r="J6" s="68">
        <v>101</v>
      </c>
      <c r="K6" s="68"/>
      <c r="L6" s="68">
        <v>50.5</v>
      </c>
      <c r="M6" s="68"/>
      <c r="N6" s="68"/>
      <c r="O6" s="68"/>
      <c r="P6" s="68"/>
      <c r="Q6" s="68"/>
      <c r="R6" s="68"/>
      <c r="S6" s="68"/>
      <c r="T6" s="68"/>
      <c r="U6" s="68"/>
      <c r="V6" s="68">
        <v>25.25</v>
      </c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6">
        <f t="shared" si="1"/>
        <v>227.25</v>
      </c>
      <c r="AJ6" s="66" t="s">
        <v>210</v>
      </c>
      <c r="AK6" s="67" t="s">
        <v>233</v>
      </c>
      <c r="AL6" s="208"/>
      <c r="AM6" s="208"/>
    </row>
    <row r="7" spans="1:40" s="60" customFormat="1" ht="13.5" thickBot="1" x14ac:dyDescent="0.25">
      <c r="A7" s="197"/>
      <c r="B7" s="82" t="s">
        <v>64</v>
      </c>
      <c r="C7" s="105">
        <f t="shared" ref="C7:AG7" si="2">SUM(C3:C6)</f>
        <v>52.35</v>
      </c>
      <c r="D7" s="105">
        <f t="shared" si="2"/>
        <v>303.02</v>
      </c>
      <c r="E7" s="105">
        <f t="shared" si="2"/>
        <v>22.96</v>
      </c>
      <c r="F7" s="105">
        <f t="shared" si="2"/>
        <v>69.94</v>
      </c>
      <c r="G7" s="105">
        <f t="shared" si="2"/>
        <v>30.549999999999997</v>
      </c>
      <c r="H7" s="105">
        <f t="shared" si="2"/>
        <v>20.22</v>
      </c>
      <c r="I7" s="105">
        <f t="shared" si="2"/>
        <v>168.78</v>
      </c>
      <c r="J7" s="105">
        <f t="shared" si="2"/>
        <v>271.38</v>
      </c>
      <c r="K7" s="105">
        <f t="shared" si="2"/>
        <v>39.950000000000003</v>
      </c>
      <c r="L7" s="105">
        <f t="shared" si="2"/>
        <v>73.47999999999999</v>
      </c>
      <c r="M7" s="105">
        <f t="shared" si="2"/>
        <v>26.27</v>
      </c>
      <c r="N7" s="105">
        <f t="shared" si="2"/>
        <v>3.8200000000000003</v>
      </c>
      <c r="O7" s="105">
        <f t="shared" si="2"/>
        <v>103.81</v>
      </c>
      <c r="P7" s="105">
        <f t="shared" si="2"/>
        <v>62.76</v>
      </c>
      <c r="Q7" s="105">
        <f t="shared" si="2"/>
        <v>78.599999999999994</v>
      </c>
      <c r="R7" s="105">
        <f t="shared" si="2"/>
        <v>29.54</v>
      </c>
      <c r="S7" s="105">
        <f t="shared" si="2"/>
        <v>0</v>
      </c>
      <c r="T7" s="105">
        <f t="shared" si="2"/>
        <v>22.64</v>
      </c>
      <c r="U7" s="105">
        <f t="shared" si="2"/>
        <v>0</v>
      </c>
      <c r="V7" s="105">
        <f t="shared" si="2"/>
        <v>47.14</v>
      </c>
      <c r="W7" s="105">
        <f t="shared" si="2"/>
        <v>51.26</v>
      </c>
      <c r="X7" s="105">
        <f t="shared" si="2"/>
        <v>51.269999999999996</v>
      </c>
      <c r="Y7" s="105">
        <f t="shared" si="2"/>
        <v>13.68</v>
      </c>
      <c r="Z7" s="105">
        <f t="shared" si="2"/>
        <v>0</v>
      </c>
      <c r="AA7" s="105">
        <f t="shared" si="2"/>
        <v>106.5</v>
      </c>
      <c r="AB7" s="105">
        <f t="shared" si="2"/>
        <v>0</v>
      </c>
      <c r="AC7" s="105">
        <f t="shared" si="2"/>
        <v>26.259999999999998</v>
      </c>
      <c r="AD7" s="105">
        <f t="shared" si="2"/>
        <v>3.8200000000000003</v>
      </c>
      <c r="AE7" s="105">
        <f t="shared" si="2"/>
        <v>0</v>
      </c>
      <c r="AF7" s="105">
        <f t="shared" si="2"/>
        <v>0</v>
      </c>
      <c r="AG7" s="105">
        <f t="shared" si="2"/>
        <v>0</v>
      </c>
      <c r="AH7" s="107">
        <f>SUM(C3:AG6)</f>
        <v>1680.0000000000002</v>
      </c>
      <c r="AI7" s="83"/>
      <c r="AJ7" s="273"/>
      <c r="AK7" s="274" t="s">
        <v>64</v>
      </c>
    </row>
    <row r="8" spans="1:40" ht="16.5" thickBot="1" x14ac:dyDescent="0.3">
      <c r="A8" s="193"/>
      <c r="B8" s="194"/>
      <c r="C8" s="195"/>
      <c r="D8" s="194"/>
      <c r="E8" s="194"/>
      <c r="F8" s="194"/>
      <c r="G8" s="194"/>
      <c r="H8" s="276"/>
      <c r="I8" s="194"/>
      <c r="J8" s="194"/>
      <c r="K8" s="194"/>
      <c r="L8" s="194"/>
      <c r="M8" s="194"/>
      <c r="N8" s="194"/>
      <c r="O8" s="194"/>
      <c r="P8" s="194"/>
      <c r="Q8" s="194"/>
      <c r="R8" s="261"/>
      <c r="S8" s="194"/>
      <c r="T8" s="194"/>
      <c r="U8" s="194"/>
      <c r="V8" s="194"/>
      <c r="W8" s="194"/>
      <c r="X8" s="194"/>
      <c r="Y8" s="195"/>
      <c r="Z8" s="194"/>
      <c r="AA8" s="194"/>
      <c r="AB8" s="194"/>
      <c r="AC8" s="194"/>
      <c r="AD8" s="194"/>
      <c r="AE8" s="194"/>
      <c r="AF8" s="194"/>
      <c r="AG8" s="194"/>
      <c r="AH8" s="196"/>
      <c r="AJ8" s="280" t="s">
        <v>66</v>
      </c>
      <c r="AK8" s="281" t="s">
        <v>128</v>
      </c>
      <c r="AL8" s="281" t="s">
        <v>120</v>
      </c>
      <c r="AM8" s="282" t="s">
        <v>121</v>
      </c>
    </row>
    <row r="9" spans="1:40" x14ac:dyDescent="0.25">
      <c r="A9" s="87" t="s">
        <v>60</v>
      </c>
      <c r="B9" s="82" t="s">
        <v>54</v>
      </c>
      <c r="C9" s="390">
        <v>13.13</v>
      </c>
      <c r="D9" s="390">
        <v>38.299999999999997</v>
      </c>
      <c r="E9" s="390"/>
      <c r="F9" s="390">
        <v>19.600000000000001</v>
      </c>
      <c r="G9" s="390">
        <v>14.68</v>
      </c>
      <c r="H9" s="390">
        <v>6.54</v>
      </c>
      <c r="I9" s="390">
        <v>2.19</v>
      </c>
      <c r="J9" s="390">
        <v>158.30000000000001</v>
      </c>
      <c r="K9" s="390">
        <v>4.38</v>
      </c>
      <c r="L9" s="390">
        <v>4.37</v>
      </c>
      <c r="M9" s="390">
        <v>4.38</v>
      </c>
      <c r="N9" s="390">
        <v>3.82</v>
      </c>
      <c r="O9" s="390">
        <v>15.87</v>
      </c>
      <c r="P9" s="390">
        <v>13.68</v>
      </c>
      <c r="Q9" s="390">
        <v>3.28</v>
      </c>
      <c r="R9" s="390">
        <v>4.38</v>
      </c>
      <c r="S9" s="390"/>
      <c r="T9" s="390">
        <v>2.64</v>
      </c>
      <c r="U9" s="390"/>
      <c r="V9" s="390">
        <v>25.25</v>
      </c>
      <c r="W9" s="390">
        <v>6.57</v>
      </c>
      <c r="X9" s="391">
        <v>4.38</v>
      </c>
      <c r="Y9" s="391"/>
      <c r="Z9" s="391"/>
      <c r="AA9" s="391">
        <v>2.19</v>
      </c>
      <c r="AB9" s="391"/>
      <c r="AC9" s="391">
        <v>2.19</v>
      </c>
      <c r="AD9" s="391">
        <v>2.1800000000000002</v>
      </c>
      <c r="AE9" s="391"/>
      <c r="AF9" s="391"/>
      <c r="AG9" s="391"/>
      <c r="AH9" s="108">
        <f>SUM(C9:AG9)</f>
        <v>352.29999999999995</v>
      </c>
      <c r="AJ9" s="135" t="s">
        <v>60</v>
      </c>
      <c r="AK9" s="136" t="s">
        <v>212</v>
      </c>
      <c r="AL9" s="384">
        <f>SUM(C9:W9)</f>
        <v>341.35999999999996</v>
      </c>
      <c r="AM9" s="385">
        <f>SUM(X9:AG9)</f>
        <v>10.94</v>
      </c>
    </row>
    <row r="10" spans="1:40" ht="16.5" thickBot="1" x14ac:dyDescent="0.3">
      <c r="A10" s="88" t="s">
        <v>60</v>
      </c>
      <c r="B10" s="89" t="s">
        <v>55</v>
      </c>
      <c r="C10" s="485">
        <v>39.22</v>
      </c>
      <c r="D10" s="485">
        <v>264.72000000000003</v>
      </c>
      <c r="E10" s="485">
        <v>22.96</v>
      </c>
      <c r="F10" s="485">
        <v>50.34</v>
      </c>
      <c r="G10" s="485">
        <v>15.87</v>
      </c>
      <c r="H10" s="485">
        <v>13.68</v>
      </c>
      <c r="I10" s="485">
        <v>166.59</v>
      </c>
      <c r="J10" s="485">
        <v>113.08</v>
      </c>
      <c r="K10" s="485">
        <v>35.57</v>
      </c>
      <c r="L10" s="485">
        <v>69.11</v>
      </c>
      <c r="M10" s="485">
        <v>21.89</v>
      </c>
      <c r="N10" s="387"/>
      <c r="O10" s="485">
        <v>87.94</v>
      </c>
      <c r="P10" s="485">
        <v>49.08</v>
      </c>
      <c r="Q10" s="485">
        <v>75.319999999999993</v>
      </c>
      <c r="R10" s="485">
        <v>25.16</v>
      </c>
      <c r="S10" s="387"/>
      <c r="T10" s="485">
        <v>20</v>
      </c>
      <c r="U10" s="387"/>
      <c r="V10" s="485">
        <v>21.89</v>
      </c>
      <c r="W10" s="485">
        <v>44.69</v>
      </c>
      <c r="X10" s="485">
        <v>46.89</v>
      </c>
      <c r="Y10" s="485">
        <v>13.68</v>
      </c>
      <c r="Z10" s="387"/>
      <c r="AA10" s="485">
        <v>104.31</v>
      </c>
      <c r="AB10" s="387"/>
      <c r="AC10" s="532">
        <v>24.07</v>
      </c>
      <c r="AD10" s="532">
        <v>1.64</v>
      </c>
      <c r="AE10" s="389"/>
      <c r="AF10" s="389"/>
      <c r="AG10" s="389"/>
      <c r="AH10" s="109">
        <f t="shared" ref="AH10" si="3">SUM(C10:AG10)</f>
        <v>1327.7000000000005</v>
      </c>
      <c r="AJ10" s="127" t="s">
        <v>60</v>
      </c>
      <c r="AK10" s="128" t="s">
        <v>213</v>
      </c>
      <c r="AL10" s="288">
        <f>SUM(C10:AB10)-AL15</f>
        <v>1261.3400000000004</v>
      </c>
      <c r="AM10" s="289">
        <f>SUM(AC10:AG10)-AM15</f>
        <v>24.91</v>
      </c>
    </row>
    <row r="11" spans="1:40" ht="16.5" thickBot="1" x14ac:dyDescent="0.3">
      <c r="A11" s="200"/>
      <c r="B11" s="191" t="s">
        <v>65</v>
      </c>
      <c r="C11" s="105">
        <f t="shared" ref="C11:AG11" si="4">SUM(C9:C10)</f>
        <v>52.35</v>
      </c>
      <c r="D11" s="105">
        <f t="shared" si="4"/>
        <v>303.02000000000004</v>
      </c>
      <c r="E11" s="105">
        <f t="shared" si="4"/>
        <v>22.96</v>
      </c>
      <c r="F11" s="105">
        <f t="shared" si="4"/>
        <v>69.94</v>
      </c>
      <c r="G11" s="105">
        <f t="shared" si="4"/>
        <v>30.549999999999997</v>
      </c>
      <c r="H11" s="105">
        <f t="shared" si="4"/>
        <v>20.22</v>
      </c>
      <c r="I11" s="105">
        <f t="shared" si="4"/>
        <v>168.78</v>
      </c>
      <c r="J11" s="105">
        <f t="shared" si="4"/>
        <v>271.38</v>
      </c>
      <c r="K11" s="105">
        <f t="shared" si="4"/>
        <v>39.950000000000003</v>
      </c>
      <c r="L11" s="105">
        <f t="shared" si="4"/>
        <v>73.48</v>
      </c>
      <c r="M11" s="105">
        <f t="shared" si="4"/>
        <v>26.27</v>
      </c>
      <c r="N11" s="105">
        <f t="shared" si="4"/>
        <v>3.82</v>
      </c>
      <c r="O11" s="105">
        <f t="shared" si="4"/>
        <v>103.81</v>
      </c>
      <c r="P11" s="105">
        <f t="shared" si="4"/>
        <v>62.76</v>
      </c>
      <c r="Q11" s="105">
        <f t="shared" si="4"/>
        <v>78.599999999999994</v>
      </c>
      <c r="R11" s="105">
        <f t="shared" si="4"/>
        <v>29.54</v>
      </c>
      <c r="S11" s="105">
        <f t="shared" si="4"/>
        <v>0</v>
      </c>
      <c r="T11" s="105">
        <f t="shared" si="4"/>
        <v>22.64</v>
      </c>
      <c r="U11" s="105">
        <f t="shared" si="4"/>
        <v>0</v>
      </c>
      <c r="V11" s="105">
        <f t="shared" si="4"/>
        <v>47.14</v>
      </c>
      <c r="W11" s="105">
        <f t="shared" si="4"/>
        <v>51.26</v>
      </c>
      <c r="X11" s="105">
        <f t="shared" si="4"/>
        <v>51.27</v>
      </c>
      <c r="Y11" s="105">
        <f t="shared" si="4"/>
        <v>13.68</v>
      </c>
      <c r="Z11" s="105">
        <f t="shared" si="4"/>
        <v>0</v>
      </c>
      <c r="AA11" s="105">
        <f t="shared" si="4"/>
        <v>106.5</v>
      </c>
      <c r="AB11" s="105">
        <f t="shared" si="4"/>
        <v>0</v>
      </c>
      <c r="AC11" s="105">
        <f t="shared" si="4"/>
        <v>26.26</v>
      </c>
      <c r="AD11" s="105">
        <f t="shared" si="4"/>
        <v>3.8200000000000003</v>
      </c>
      <c r="AE11" s="105">
        <f t="shared" si="4"/>
        <v>0</v>
      </c>
      <c r="AF11" s="105">
        <f t="shared" si="4"/>
        <v>0</v>
      </c>
      <c r="AG11" s="105">
        <f t="shared" si="4"/>
        <v>0</v>
      </c>
      <c r="AH11" s="108">
        <f>SUM(C11:AG11)</f>
        <v>1680</v>
      </c>
      <c r="AI11" s="59"/>
      <c r="AJ11" s="501" t="s">
        <v>76</v>
      </c>
      <c r="AK11" s="502"/>
      <c r="AL11" s="503">
        <f>SUM(AL9:AM10)</f>
        <v>1638.5500000000004</v>
      </c>
      <c r="AM11" s="504"/>
      <c r="AN11" s="271">
        <f>AL11-(AH11+AL13-AL15-AM15)</f>
        <v>0</v>
      </c>
    </row>
    <row r="12" spans="1:40" ht="16.5" thickBot="1" x14ac:dyDescent="0.3">
      <c r="A12" s="93"/>
      <c r="B12" s="94"/>
      <c r="C12" s="95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6"/>
      <c r="AJ12" s="266"/>
      <c r="AK12" s="266"/>
      <c r="AL12" s="97"/>
      <c r="AM12" s="188"/>
      <c r="AN12" s="190"/>
    </row>
    <row r="13" spans="1:40" s="97" customFormat="1" ht="16.5" thickBot="1" x14ac:dyDescent="0.3">
      <c r="A13" s="273" t="s">
        <v>214</v>
      </c>
      <c r="B13" s="99" t="s">
        <v>33</v>
      </c>
      <c r="C13" s="112">
        <f t="shared" ref="C13:AG13" si="5">SUM(C3:C6)-SUM(C9:C10)</f>
        <v>0</v>
      </c>
      <c r="D13" s="112">
        <f t="shared" si="5"/>
        <v>0</v>
      </c>
      <c r="E13" s="112">
        <f t="shared" si="5"/>
        <v>0</v>
      </c>
      <c r="F13" s="112">
        <f t="shared" si="5"/>
        <v>0</v>
      </c>
      <c r="G13" s="112">
        <f t="shared" si="5"/>
        <v>0</v>
      </c>
      <c r="H13" s="112">
        <f t="shared" si="5"/>
        <v>0</v>
      </c>
      <c r="I13" s="112">
        <f t="shared" si="5"/>
        <v>0</v>
      </c>
      <c r="J13" s="112">
        <f t="shared" si="5"/>
        <v>0</v>
      </c>
      <c r="K13" s="112">
        <f t="shared" si="5"/>
        <v>0</v>
      </c>
      <c r="L13" s="112">
        <f t="shared" si="5"/>
        <v>0</v>
      </c>
      <c r="M13" s="112">
        <f t="shared" si="5"/>
        <v>0</v>
      </c>
      <c r="N13" s="112">
        <f t="shared" si="5"/>
        <v>0</v>
      </c>
      <c r="O13" s="112">
        <f t="shared" si="5"/>
        <v>0</v>
      </c>
      <c r="P13" s="112">
        <f t="shared" si="5"/>
        <v>0</v>
      </c>
      <c r="Q13" s="112">
        <f t="shared" si="5"/>
        <v>0</v>
      </c>
      <c r="R13" s="112">
        <f t="shared" si="5"/>
        <v>0</v>
      </c>
      <c r="S13" s="112">
        <f t="shared" si="5"/>
        <v>0</v>
      </c>
      <c r="T13" s="112">
        <f t="shared" si="5"/>
        <v>0</v>
      </c>
      <c r="U13" s="112">
        <f t="shared" si="5"/>
        <v>0</v>
      </c>
      <c r="V13" s="112">
        <f t="shared" si="5"/>
        <v>0</v>
      </c>
      <c r="W13" s="112">
        <f t="shared" si="5"/>
        <v>0</v>
      </c>
      <c r="X13" s="112">
        <f t="shared" si="5"/>
        <v>0</v>
      </c>
      <c r="Y13" s="112">
        <f t="shared" si="5"/>
        <v>0</v>
      </c>
      <c r="Z13" s="112">
        <f t="shared" si="5"/>
        <v>0</v>
      </c>
      <c r="AA13" s="112">
        <f t="shared" si="5"/>
        <v>0</v>
      </c>
      <c r="AB13" s="112">
        <f t="shared" si="5"/>
        <v>0</v>
      </c>
      <c r="AC13" s="112">
        <f t="shared" si="5"/>
        <v>0</v>
      </c>
      <c r="AD13" s="112">
        <f t="shared" si="5"/>
        <v>0</v>
      </c>
      <c r="AE13" s="112">
        <f t="shared" si="5"/>
        <v>0</v>
      </c>
      <c r="AF13" s="112">
        <f t="shared" si="5"/>
        <v>0</v>
      </c>
      <c r="AG13" s="112">
        <f t="shared" si="5"/>
        <v>0</v>
      </c>
      <c r="AH13" s="113">
        <f>SUM(C13:AG13)</f>
        <v>0</v>
      </c>
      <c r="AI13" s="62"/>
      <c r="AJ13" s="465" t="s">
        <v>214</v>
      </c>
      <c r="AK13" s="210" t="s">
        <v>215</v>
      </c>
      <c r="AL13" s="269">
        <f>AH13</f>
        <v>0</v>
      </c>
      <c r="AM13" s="270"/>
      <c r="AN13" s="272" t="s">
        <v>126</v>
      </c>
    </row>
    <row r="14" spans="1:40" s="100" customFormat="1" ht="16.5" thickBot="1" x14ac:dyDescent="0.3">
      <c r="A14" s="222"/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4"/>
      <c r="AI14" s="62"/>
      <c r="AJ14" s="466"/>
      <c r="AK14" s="223"/>
      <c r="AL14" s="97"/>
      <c r="AM14" s="477">
        <f>AL11+AL13+AM13+AL15+AM15</f>
        <v>1680.0000000000005</v>
      </c>
      <c r="AN14" s="476">
        <f>AM14-AH7</f>
        <v>0</v>
      </c>
    </row>
    <row r="15" spans="1:40" s="97" customFormat="1" ht="16.5" thickBot="1" x14ac:dyDescent="0.3">
      <c r="A15" s="465" t="s">
        <v>216</v>
      </c>
      <c r="B15" s="99" t="s">
        <v>195</v>
      </c>
      <c r="C15" s="490">
        <v>1.23</v>
      </c>
      <c r="D15" s="490">
        <v>8.27</v>
      </c>
      <c r="E15" s="490">
        <v>0.71</v>
      </c>
      <c r="F15" s="490">
        <v>1.57</v>
      </c>
      <c r="G15" s="490">
        <v>0.5</v>
      </c>
      <c r="H15" s="490">
        <v>0.43</v>
      </c>
      <c r="I15" s="490">
        <v>5.2</v>
      </c>
      <c r="J15" s="490">
        <v>3.53</v>
      </c>
      <c r="K15" s="490">
        <v>1.1200000000000001</v>
      </c>
      <c r="L15" s="490">
        <v>2.16</v>
      </c>
      <c r="M15" s="490">
        <v>0.68</v>
      </c>
      <c r="N15" s="467"/>
      <c r="O15" s="490">
        <v>2.75</v>
      </c>
      <c r="P15" s="490">
        <v>1.53</v>
      </c>
      <c r="Q15" s="490">
        <v>2.36</v>
      </c>
      <c r="R15" s="490">
        <v>0.78</v>
      </c>
      <c r="S15" s="467"/>
      <c r="T15" s="490">
        <v>0.62</v>
      </c>
      <c r="U15" s="467"/>
      <c r="V15" s="490">
        <v>0.68</v>
      </c>
      <c r="W15" s="490">
        <v>1.39</v>
      </c>
      <c r="X15" s="490">
        <v>1.46</v>
      </c>
      <c r="Y15" s="490">
        <v>0.43</v>
      </c>
      <c r="Z15" s="467"/>
      <c r="AA15" s="490">
        <v>3.25</v>
      </c>
      <c r="AB15" s="467"/>
      <c r="AC15" s="534">
        <v>0.75</v>
      </c>
      <c r="AD15" s="534">
        <v>0.05</v>
      </c>
      <c r="AE15" s="482"/>
      <c r="AF15" s="482"/>
      <c r="AG15" s="483"/>
      <c r="AH15" s="468">
        <f>SUM(C15:AG15)</f>
        <v>41.45</v>
      </c>
      <c r="AI15" s="62"/>
      <c r="AJ15" s="465" t="s">
        <v>216</v>
      </c>
      <c r="AK15" s="210" t="s">
        <v>197</v>
      </c>
      <c r="AL15" s="269">
        <f>SUM(C15:AB15)</f>
        <v>40.650000000000006</v>
      </c>
      <c r="AM15" s="270">
        <f>SUM(AC15:AG15)</f>
        <v>0.8</v>
      </c>
      <c r="AN15" s="272"/>
    </row>
    <row r="16" spans="1:40" s="100" customFormat="1" x14ac:dyDescent="0.25">
      <c r="A16" s="222"/>
      <c r="B16" s="223" t="s">
        <v>232</v>
      </c>
      <c r="C16" s="481">
        <f>C10-C15</f>
        <v>37.99</v>
      </c>
      <c r="D16" s="481">
        <f t="shared" ref="D16:AG16" si="6">D10-D15</f>
        <v>256.45000000000005</v>
      </c>
      <c r="E16" s="481">
        <f t="shared" si="6"/>
        <v>22.25</v>
      </c>
      <c r="F16" s="481">
        <f t="shared" si="6"/>
        <v>48.77</v>
      </c>
      <c r="G16" s="481">
        <f t="shared" si="6"/>
        <v>15.37</v>
      </c>
      <c r="H16" s="481">
        <f t="shared" si="6"/>
        <v>13.25</v>
      </c>
      <c r="I16" s="481">
        <f t="shared" si="6"/>
        <v>161.39000000000001</v>
      </c>
      <c r="J16" s="481">
        <f t="shared" si="6"/>
        <v>109.55</v>
      </c>
      <c r="K16" s="481">
        <f t="shared" si="6"/>
        <v>34.450000000000003</v>
      </c>
      <c r="L16" s="481">
        <f t="shared" si="6"/>
        <v>66.95</v>
      </c>
      <c r="M16" s="481">
        <f t="shared" si="6"/>
        <v>21.21</v>
      </c>
      <c r="N16" s="481">
        <f t="shared" si="6"/>
        <v>0</v>
      </c>
      <c r="O16" s="481">
        <f t="shared" si="6"/>
        <v>85.19</v>
      </c>
      <c r="P16" s="481">
        <f t="shared" si="6"/>
        <v>47.55</v>
      </c>
      <c r="Q16" s="481">
        <f t="shared" si="6"/>
        <v>72.959999999999994</v>
      </c>
      <c r="R16" s="481">
        <f t="shared" si="6"/>
        <v>24.38</v>
      </c>
      <c r="S16" s="481">
        <f t="shared" si="6"/>
        <v>0</v>
      </c>
      <c r="T16" s="481">
        <f t="shared" si="6"/>
        <v>19.38</v>
      </c>
      <c r="U16" s="481">
        <f t="shared" si="6"/>
        <v>0</v>
      </c>
      <c r="V16" s="481">
        <f t="shared" si="6"/>
        <v>21.21</v>
      </c>
      <c r="W16" s="481">
        <f t="shared" si="6"/>
        <v>43.3</v>
      </c>
      <c r="X16" s="481">
        <f t="shared" si="6"/>
        <v>45.43</v>
      </c>
      <c r="Y16" s="481">
        <f t="shared" si="6"/>
        <v>13.25</v>
      </c>
      <c r="Z16" s="481">
        <f t="shared" si="6"/>
        <v>0</v>
      </c>
      <c r="AA16" s="481">
        <f t="shared" si="6"/>
        <v>101.06</v>
      </c>
      <c r="AB16" s="481">
        <f t="shared" si="6"/>
        <v>0</v>
      </c>
      <c r="AC16" s="481">
        <f t="shared" si="6"/>
        <v>23.32</v>
      </c>
      <c r="AD16" s="481">
        <f t="shared" si="6"/>
        <v>1.5899999999999999</v>
      </c>
      <c r="AE16" s="481">
        <f t="shared" si="6"/>
        <v>0</v>
      </c>
      <c r="AF16" s="481">
        <f t="shared" si="6"/>
        <v>0</v>
      </c>
      <c r="AG16" s="481">
        <f t="shared" si="6"/>
        <v>0</v>
      </c>
      <c r="AH16" s="224"/>
      <c r="AI16" s="62"/>
      <c r="AJ16" s="222"/>
      <c r="AK16" s="223"/>
      <c r="AL16" s="97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Q51" sqref="Q51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4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79" customFormat="1" ht="13.5" customHeight="1" x14ac:dyDescent="0.25">
      <c r="A1" s="233" t="s">
        <v>114</v>
      </c>
      <c r="B1" s="177" t="str">
        <f>CONCATENATE('Cash Flow'!C1, "  ",'Cash Flow'!D1)</f>
        <v>October  2023</v>
      </c>
      <c r="C1" s="178"/>
    </row>
    <row r="2" spans="1:6" s="179" customFormat="1" ht="5.0999999999999996" customHeight="1" thickBot="1" x14ac:dyDescent="0.3">
      <c r="A2" s="233"/>
      <c r="B2" s="177"/>
      <c r="C2" s="178"/>
    </row>
    <row r="3" spans="1:6" s="179" customFormat="1" ht="14.1" customHeight="1" thickBot="1" x14ac:dyDescent="0.3">
      <c r="A3" s="524" t="s">
        <v>181</v>
      </c>
      <c r="B3" s="525"/>
      <c r="C3" s="526"/>
    </row>
    <row r="4" spans="1:6" s="179" customFormat="1" ht="24" customHeight="1" x14ac:dyDescent="0.25">
      <c r="A4" s="87" t="s">
        <v>30</v>
      </c>
      <c r="B4" s="82" t="s">
        <v>226</v>
      </c>
      <c r="C4" s="184">
        <f>Pool!AH4</f>
        <v>172001.59999999998</v>
      </c>
      <c r="D4" s="518"/>
      <c r="E4" s="519"/>
      <c r="F4" s="519"/>
    </row>
    <row r="5" spans="1:6" ht="14.1" customHeight="1" x14ac:dyDescent="0.25">
      <c r="A5" s="88" t="s">
        <v>173</v>
      </c>
      <c r="B5" s="89" t="s">
        <v>63</v>
      </c>
      <c r="C5" s="185">
        <f>Pool!AH9</f>
        <v>0</v>
      </c>
      <c r="D5" s="522"/>
      <c r="E5" s="523"/>
      <c r="F5" s="523"/>
    </row>
    <row r="6" spans="1:6" ht="14.1" customHeight="1" x14ac:dyDescent="0.25">
      <c r="A6" s="88" t="s">
        <v>152</v>
      </c>
      <c r="B6" s="89" t="s">
        <v>231</v>
      </c>
      <c r="C6" s="185">
        <f>Pool!AH6+Pool!AH7</f>
        <v>23925.5</v>
      </c>
      <c r="D6" s="520"/>
      <c r="E6" s="521"/>
      <c r="F6" s="521"/>
    </row>
    <row r="7" spans="1:6" ht="14.1" customHeight="1" x14ac:dyDescent="0.25">
      <c r="A7" s="88" t="s">
        <v>157</v>
      </c>
      <c r="B7" s="89" t="s">
        <v>158</v>
      </c>
      <c r="C7" s="185">
        <f>Pool!AH8</f>
        <v>0</v>
      </c>
      <c r="D7" s="522"/>
      <c r="E7" s="523"/>
      <c r="F7" s="523"/>
    </row>
    <row r="8" spans="1:6" ht="14.1" customHeight="1" x14ac:dyDescent="0.25">
      <c r="A8" s="88" t="s">
        <v>159</v>
      </c>
      <c r="B8" s="89" t="s">
        <v>168</v>
      </c>
      <c r="C8" s="185">
        <f>Pool!AH10</f>
        <v>0</v>
      </c>
      <c r="D8" s="522"/>
      <c r="E8" s="523"/>
      <c r="F8" s="523"/>
    </row>
    <row r="9" spans="1:6" ht="14.1" customHeight="1" x14ac:dyDescent="0.25">
      <c r="A9" s="88" t="s">
        <v>34</v>
      </c>
      <c r="B9" s="89" t="s">
        <v>35</v>
      </c>
      <c r="C9" s="185">
        <f>Pool!AH14</f>
        <v>1477</v>
      </c>
      <c r="D9" s="522"/>
      <c r="E9" s="523"/>
      <c r="F9" s="523"/>
    </row>
    <row r="10" spans="1:6" ht="14.1" customHeight="1" x14ac:dyDescent="0.25">
      <c r="A10" s="88" t="s">
        <v>36</v>
      </c>
      <c r="B10" s="89" t="s">
        <v>37</v>
      </c>
      <c r="C10" s="185">
        <f>Pool!AH15+Pool!AH17</f>
        <v>8938.2799999999988</v>
      </c>
      <c r="D10" s="522"/>
      <c r="E10" s="523"/>
      <c r="F10" s="523"/>
    </row>
    <row r="11" spans="1:6" ht="14.1" customHeight="1" x14ac:dyDescent="0.25">
      <c r="A11" s="88" t="s">
        <v>194</v>
      </c>
      <c r="B11" s="89" t="s">
        <v>111</v>
      </c>
      <c r="C11" s="185">
        <f>Pool!AH16</f>
        <v>0</v>
      </c>
      <c r="D11" s="522"/>
      <c r="E11" s="523"/>
      <c r="F11" s="523"/>
    </row>
    <row r="12" spans="1:6" ht="14.1" customHeight="1" x14ac:dyDescent="0.25">
      <c r="A12" s="88" t="s">
        <v>77</v>
      </c>
      <c r="B12" s="89" t="s">
        <v>193</v>
      </c>
      <c r="C12" s="185">
        <f>Pool!AH18</f>
        <v>4038.5</v>
      </c>
      <c r="D12" s="522"/>
      <c r="E12" s="523"/>
      <c r="F12" s="523"/>
    </row>
    <row r="13" spans="1:6" ht="14.1" hidden="1" customHeight="1" x14ac:dyDescent="0.25">
      <c r="A13" s="88" t="s">
        <v>38</v>
      </c>
      <c r="B13" s="89" t="s">
        <v>39</v>
      </c>
      <c r="C13" s="185">
        <f>Pool!AH19</f>
        <v>0</v>
      </c>
      <c r="D13" s="522"/>
      <c r="E13" s="523"/>
      <c r="F13" s="523"/>
    </row>
    <row r="14" spans="1:6" ht="14.1" customHeight="1" x14ac:dyDescent="0.25">
      <c r="A14" s="88" t="s">
        <v>40</v>
      </c>
      <c r="B14" s="89" t="s">
        <v>228</v>
      </c>
      <c r="C14" s="185">
        <f>Pool!AH20</f>
        <v>0</v>
      </c>
      <c r="D14" s="522"/>
      <c r="E14" s="523"/>
      <c r="F14" s="523"/>
    </row>
    <row r="15" spans="1:6" ht="14.1" customHeight="1" thickBot="1" x14ac:dyDescent="0.3">
      <c r="A15" s="79" t="s">
        <v>161</v>
      </c>
      <c r="B15" s="92" t="s">
        <v>162</v>
      </c>
      <c r="C15" s="186">
        <f>Pool!AH21</f>
        <v>0</v>
      </c>
      <c r="D15" s="522"/>
      <c r="E15" s="523"/>
      <c r="F15" s="523"/>
    </row>
    <row r="16" spans="1:6" ht="14.1" hidden="1" customHeight="1" x14ac:dyDescent="0.25">
      <c r="A16" s="469" t="s">
        <v>42</v>
      </c>
      <c r="B16" s="470" t="s">
        <v>43</v>
      </c>
      <c r="C16" s="471">
        <f>Pool!AH22</f>
        <v>0</v>
      </c>
      <c r="D16" s="522"/>
      <c r="E16" s="523"/>
      <c r="F16" s="523"/>
    </row>
    <row r="17" spans="1:7" ht="14.1" hidden="1" customHeight="1" x14ac:dyDescent="0.25">
      <c r="A17" s="88" t="s">
        <v>44</v>
      </c>
      <c r="B17" s="89" t="s">
        <v>45</v>
      </c>
      <c r="C17" s="185">
        <f>Pool!AH23</f>
        <v>0</v>
      </c>
      <c r="D17" s="522"/>
      <c r="E17" s="523"/>
      <c r="F17" s="523"/>
    </row>
    <row r="18" spans="1:7" ht="14.1" hidden="1" customHeight="1" x14ac:dyDescent="0.25">
      <c r="A18" s="88" t="s">
        <v>46</v>
      </c>
      <c r="B18" s="89" t="s">
        <v>47</v>
      </c>
      <c r="C18" s="185">
        <f>Pool!AH24</f>
        <v>0</v>
      </c>
      <c r="D18" s="522"/>
      <c r="E18" s="523"/>
      <c r="F18" s="523"/>
    </row>
    <row r="19" spans="1:7" ht="14.1" hidden="1" customHeight="1" x14ac:dyDescent="0.25">
      <c r="A19" s="88" t="s">
        <v>48</v>
      </c>
      <c r="B19" s="89" t="s">
        <v>49</v>
      </c>
      <c r="C19" s="185">
        <f>Pool!AH25</f>
        <v>0</v>
      </c>
      <c r="D19" s="522"/>
      <c r="E19" s="523"/>
      <c r="F19" s="523"/>
    </row>
    <row r="20" spans="1:7" ht="14.1" hidden="1" customHeight="1" x14ac:dyDescent="0.25">
      <c r="A20" s="88" t="s">
        <v>50</v>
      </c>
      <c r="B20" s="89" t="s">
        <v>51</v>
      </c>
      <c r="C20" s="185">
        <f>Pool!AH26</f>
        <v>0</v>
      </c>
      <c r="D20" s="522"/>
      <c r="E20" s="523"/>
      <c r="F20" s="523"/>
    </row>
    <row r="21" spans="1:7" ht="14.1" hidden="1" customHeight="1" thickBot="1" x14ac:dyDescent="0.3">
      <c r="A21" s="79" t="s">
        <v>52</v>
      </c>
      <c r="B21" s="92" t="s">
        <v>53</v>
      </c>
      <c r="C21" s="186">
        <f>Pool!AH27</f>
        <v>0</v>
      </c>
      <c r="D21" s="522"/>
      <c r="E21" s="523"/>
      <c r="F21" s="523"/>
    </row>
    <row r="22" spans="1:7" ht="14.1" customHeight="1" x14ac:dyDescent="0.25">
      <c r="A22" s="187"/>
      <c r="B22" s="205" t="s">
        <v>64</v>
      </c>
      <c r="C22" s="472">
        <f>C4+C5+C6+C7+C8+C9+C10+C11+C12+C15+C14</f>
        <v>210380.87999999998</v>
      </c>
      <c r="D22" s="523" t="s">
        <v>171</v>
      </c>
      <c r="E22" s="523"/>
      <c r="F22" s="523"/>
    </row>
    <row r="23" spans="1:7" ht="5.0999999999999996" customHeight="1" thickBot="1" x14ac:dyDescent="0.3">
      <c r="A23" s="114"/>
      <c r="B23" s="114"/>
      <c r="C23" s="114"/>
      <c r="F23" s="208"/>
      <c r="G23" s="208"/>
    </row>
    <row r="24" spans="1:7" ht="14.1" customHeight="1" thickBot="1" x14ac:dyDescent="0.3">
      <c r="A24" s="524" t="s">
        <v>174</v>
      </c>
      <c r="B24" s="525"/>
      <c r="C24" s="526"/>
    </row>
    <row r="25" spans="1:7" ht="14.1" customHeight="1" x14ac:dyDescent="0.25">
      <c r="A25" s="124" t="s">
        <v>61</v>
      </c>
      <c r="B25" s="392" t="s">
        <v>62</v>
      </c>
      <c r="C25" s="393">
        <f>Pool!AH3</f>
        <v>849.2600000000001</v>
      </c>
      <c r="D25" s="522"/>
      <c r="E25" s="523"/>
      <c r="F25" s="523"/>
    </row>
    <row r="26" spans="1:7" ht="14.1" hidden="1" customHeight="1" x14ac:dyDescent="0.25">
      <c r="A26" s="127" t="s">
        <v>153</v>
      </c>
      <c r="B26" s="394" t="s">
        <v>154</v>
      </c>
      <c r="C26" s="396">
        <f>Pool!AH11</f>
        <v>0</v>
      </c>
      <c r="D26" s="522" t="s">
        <v>179</v>
      </c>
      <c r="E26" s="523"/>
      <c r="F26" s="523"/>
    </row>
    <row r="27" spans="1:7" ht="14.1" hidden="1" customHeight="1" x14ac:dyDescent="0.25">
      <c r="A27" s="127" t="s">
        <v>164</v>
      </c>
      <c r="B27" s="394" t="s">
        <v>165</v>
      </c>
      <c r="C27" s="396">
        <f>Pool!AH12</f>
        <v>0</v>
      </c>
      <c r="D27" s="522" t="s">
        <v>169</v>
      </c>
      <c r="E27" s="523"/>
      <c r="F27" s="523"/>
    </row>
    <row r="28" spans="1:7" ht="14.1" hidden="1" customHeight="1" x14ac:dyDescent="0.25">
      <c r="A28" s="127" t="s">
        <v>166</v>
      </c>
      <c r="B28" s="394" t="s">
        <v>167</v>
      </c>
      <c r="C28" s="396">
        <f>Pool!AH13</f>
        <v>0</v>
      </c>
      <c r="D28" s="522" t="s">
        <v>170</v>
      </c>
      <c r="E28" s="523"/>
      <c r="F28" s="523"/>
    </row>
    <row r="29" spans="1:7" ht="14.1" customHeight="1" thickBot="1" x14ac:dyDescent="0.3">
      <c r="A29" s="133" t="s">
        <v>109</v>
      </c>
      <c r="B29" s="395" t="s">
        <v>175</v>
      </c>
      <c r="C29" s="397">
        <f>Pool!AH28</f>
        <v>88</v>
      </c>
      <c r="D29" s="522" t="s">
        <v>175</v>
      </c>
      <c r="E29" s="523"/>
      <c r="F29" s="523"/>
    </row>
    <row r="30" spans="1:7" ht="14.1" customHeight="1" x14ac:dyDescent="0.25">
      <c r="A30" s="114"/>
      <c r="B30" s="398" t="s">
        <v>176</v>
      </c>
      <c r="C30" s="399">
        <f>SUM(C25:C29)</f>
        <v>937.2600000000001</v>
      </c>
      <c r="F30" s="208"/>
    </row>
    <row r="31" spans="1:7" ht="5.0999999999999996" customHeight="1" x14ac:dyDescent="0.25">
      <c r="A31" s="114"/>
      <c r="B31" s="400"/>
      <c r="C31" s="399"/>
      <c r="F31" s="208"/>
    </row>
    <row r="32" spans="1:7" ht="14.1" customHeight="1" x14ac:dyDescent="0.25">
      <c r="A32" s="114"/>
      <c r="B32" s="401" t="s">
        <v>177</v>
      </c>
      <c r="C32" s="402">
        <f>C30+C22</f>
        <v>211318.13999999998</v>
      </c>
      <c r="D32" s="523" t="s">
        <v>178</v>
      </c>
      <c r="E32" s="523"/>
      <c r="F32" s="523"/>
    </row>
    <row r="33" spans="1:6" ht="5.0999999999999996" customHeight="1" thickBot="1" x14ac:dyDescent="0.3">
      <c r="A33" s="114"/>
      <c r="B33" s="114"/>
      <c r="C33" s="114"/>
    </row>
    <row r="34" spans="1:6" ht="14.1" customHeight="1" thickBot="1" x14ac:dyDescent="0.3">
      <c r="A34" s="524" t="s">
        <v>180</v>
      </c>
      <c r="B34" s="525"/>
      <c r="C34" s="526"/>
    </row>
    <row r="35" spans="1:6" ht="14.1" customHeight="1" x14ac:dyDescent="0.25">
      <c r="A35" s="124" t="s">
        <v>60</v>
      </c>
      <c r="B35" s="125" t="s">
        <v>86</v>
      </c>
      <c r="C35" s="155">
        <f>Pool!AL33</f>
        <v>27903.79</v>
      </c>
    </row>
    <row r="36" spans="1:6" ht="14.1" customHeight="1" x14ac:dyDescent="0.25">
      <c r="A36" s="127" t="s">
        <v>60</v>
      </c>
      <c r="B36" s="128" t="s">
        <v>88</v>
      </c>
      <c r="C36" s="156">
        <f>Pool!AM33</f>
        <v>2466.0500000000002</v>
      </c>
    </row>
    <row r="37" spans="1:6" ht="14.1" customHeight="1" x14ac:dyDescent="0.25">
      <c r="A37" s="127" t="s">
        <v>60</v>
      </c>
      <c r="B37" s="128" t="s">
        <v>87</v>
      </c>
      <c r="C37" s="156">
        <f>Pool!AL34</f>
        <v>155872.91</v>
      </c>
    </row>
    <row r="38" spans="1:6" ht="14.1" customHeight="1" x14ac:dyDescent="0.25">
      <c r="A38" s="127" t="s">
        <v>60</v>
      </c>
      <c r="B38" s="128" t="s">
        <v>89</v>
      </c>
      <c r="C38" s="156">
        <f>Pool!AM34</f>
        <v>17822.599999999999</v>
      </c>
      <c r="D38" s="264"/>
      <c r="E38" s="208"/>
    </row>
    <row r="39" spans="1:6" ht="14.1" customHeight="1" x14ac:dyDescent="0.25">
      <c r="A39" s="127" t="s">
        <v>60</v>
      </c>
      <c r="B39" s="128" t="s">
        <v>112</v>
      </c>
      <c r="C39" s="156">
        <f>Pool!AL35</f>
        <v>1605</v>
      </c>
      <c r="D39" s="265"/>
      <c r="E39" s="208"/>
    </row>
    <row r="40" spans="1:6" ht="14.1" customHeight="1" x14ac:dyDescent="0.25">
      <c r="A40" s="127" t="s">
        <v>60</v>
      </c>
      <c r="B40" s="128" t="s">
        <v>113</v>
      </c>
      <c r="C40" s="156">
        <f>Pool!AM35</f>
        <v>0</v>
      </c>
      <c r="E40" s="208"/>
    </row>
    <row r="41" spans="1:6" ht="14.1" customHeight="1" x14ac:dyDescent="0.25">
      <c r="A41" s="127" t="s">
        <v>196</v>
      </c>
      <c r="B41" s="128" t="s">
        <v>197</v>
      </c>
      <c r="C41" s="156">
        <f>Pool!AL45+Pool!AM45</f>
        <v>5650.4800000000005</v>
      </c>
      <c r="E41" s="208"/>
    </row>
    <row r="42" spans="1:6" ht="14.1" customHeight="1" x14ac:dyDescent="0.25">
      <c r="A42" s="127" t="s">
        <v>32</v>
      </c>
      <c r="B42" s="128" t="s">
        <v>90</v>
      </c>
      <c r="C42" s="156">
        <f>Pool!AL43</f>
        <v>-54.690000000001874</v>
      </c>
      <c r="D42" s="527"/>
      <c r="E42" s="528"/>
      <c r="F42" s="528"/>
    </row>
    <row r="43" spans="1:6" ht="14.1" customHeight="1" x14ac:dyDescent="0.25">
      <c r="A43" s="359" t="s">
        <v>67</v>
      </c>
      <c r="B43" s="360" t="s">
        <v>91</v>
      </c>
      <c r="C43" s="377">
        <f>Pool!AL37</f>
        <v>0</v>
      </c>
    </row>
    <row r="44" spans="1:6" ht="14.1" customHeight="1" thickBot="1" x14ac:dyDescent="0.3">
      <c r="A44" s="133" t="s">
        <v>109</v>
      </c>
      <c r="B44" s="134" t="s">
        <v>172</v>
      </c>
      <c r="C44" s="157">
        <f>Pool!AL38</f>
        <v>52</v>
      </c>
    </row>
    <row r="45" spans="1:6" ht="12.75" customHeight="1" x14ac:dyDescent="0.25">
      <c r="A45" s="203"/>
      <c r="B45" s="206" t="s">
        <v>65</v>
      </c>
      <c r="C45" s="207">
        <f>SUM(C35:C44)</f>
        <v>211318.14</v>
      </c>
    </row>
    <row r="46" spans="1:6" ht="5.0999999999999996" customHeight="1" thickBot="1" x14ac:dyDescent="0.3">
      <c r="D46" s="207"/>
      <c r="E46" s="208"/>
    </row>
    <row r="47" spans="1:6" ht="14.1" customHeight="1" x14ac:dyDescent="0.25">
      <c r="B47" s="124" t="s">
        <v>57</v>
      </c>
      <c r="C47" s="234">
        <f>Pool!AJ47</f>
        <v>9266</v>
      </c>
    </row>
    <row r="48" spans="1:6" ht="14.1" customHeight="1" x14ac:dyDescent="0.25">
      <c r="B48" s="127" t="s">
        <v>58</v>
      </c>
      <c r="C48" s="235">
        <f>Pool!AJ48</f>
        <v>1769</v>
      </c>
    </row>
    <row r="49" spans="1:5" ht="14.1" customHeight="1" thickBot="1" x14ac:dyDescent="0.3">
      <c r="B49" s="236" t="s">
        <v>106</v>
      </c>
      <c r="C49" s="237">
        <f>C47+C48</f>
        <v>11035</v>
      </c>
    </row>
    <row r="50" spans="1:5" ht="5.0999999999999996" customHeight="1" thickBot="1" x14ac:dyDescent="0.3"/>
    <row r="51" spans="1:5" ht="14.1" customHeight="1" thickBot="1" x14ac:dyDescent="0.3">
      <c r="B51" s="238" t="s">
        <v>116</v>
      </c>
      <c r="C51" s="239">
        <f>Pool!AJ54</f>
        <v>18.463801239778125</v>
      </c>
    </row>
    <row r="52" spans="1:5" ht="5.0999999999999996" customHeight="1" thickBot="1" x14ac:dyDescent="0.3"/>
    <row r="53" spans="1:5" ht="14.1" customHeight="1" thickBot="1" x14ac:dyDescent="0.3">
      <c r="A53" s="262"/>
      <c r="B53" s="297" t="s">
        <v>128</v>
      </c>
      <c r="C53" s="298" t="s">
        <v>139</v>
      </c>
    </row>
    <row r="54" spans="1:5" ht="14.1" customHeight="1" x14ac:dyDescent="0.25">
      <c r="B54" s="81" t="s">
        <v>133</v>
      </c>
      <c r="C54" s="309">
        <f>Pool!AJ57</f>
        <v>98.04</v>
      </c>
    </row>
    <row r="55" spans="1:5" ht="14.1" customHeight="1" x14ac:dyDescent="0.25">
      <c r="A55" s="262"/>
      <c r="B55" s="310" t="s">
        <v>134</v>
      </c>
      <c r="C55" s="311">
        <f>Pool!AJ58</f>
        <v>84.333333333333329</v>
      </c>
    </row>
    <row r="56" spans="1:5" ht="14.1" customHeight="1" x14ac:dyDescent="0.25">
      <c r="B56" s="310" t="s">
        <v>136</v>
      </c>
      <c r="C56" s="311">
        <f>Pool!AJ59</f>
        <v>82.6</v>
      </c>
    </row>
    <row r="57" spans="1:5" ht="14.1" customHeight="1" thickBot="1" x14ac:dyDescent="0.3">
      <c r="B57" s="312" t="s">
        <v>140</v>
      </c>
      <c r="C57" s="313">
        <f>Pool!AJ60</f>
        <v>0</v>
      </c>
    </row>
    <row r="58" spans="1:5" x14ac:dyDescent="0.25">
      <c r="A58" s="374"/>
      <c r="B58" s="374"/>
      <c r="C58" s="374"/>
      <c r="E58" s="374"/>
    </row>
    <row r="59" spans="1:5" x14ac:dyDescent="0.25">
      <c r="D59" s="374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23" sqref="F23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4" t="s">
        <v>115</v>
      </c>
      <c r="B1" s="252" t="str">
        <f>CONCATENATE('Cash Flow'!C1, "  ",'Cash Flow'!D1)</f>
        <v>October  2023</v>
      </c>
    </row>
    <row r="2" spans="1:5" ht="15.75" thickBot="1" x14ac:dyDescent="0.3"/>
    <row r="3" spans="1:5" x14ac:dyDescent="0.25">
      <c r="A3" s="248" t="s">
        <v>61</v>
      </c>
      <c r="B3" s="249" t="s">
        <v>100</v>
      </c>
      <c r="C3" s="126">
        <f>'Box Canon'!AH3+'Box Canon'!AH9</f>
        <v>520.08000000000004</v>
      </c>
      <c r="D3" s="114"/>
    </row>
    <row r="4" spans="1:5" x14ac:dyDescent="0.25">
      <c r="A4" s="250" t="s">
        <v>69</v>
      </c>
      <c r="B4" s="251" t="s">
        <v>70</v>
      </c>
      <c r="C4" s="129">
        <f>'Box Canon'!AH4+'Box Canon'!AH10</f>
        <v>60297.5</v>
      </c>
      <c r="D4" s="114"/>
    </row>
    <row r="5" spans="1:5" x14ac:dyDescent="0.25">
      <c r="A5" s="250" t="s">
        <v>80</v>
      </c>
      <c r="B5" s="251" t="s">
        <v>101</v>
      </c>
      <c r="C5" s="129">
        <f>'Box Canon'!AH5+'Box Canon'!AH11</f>
        <v>208.67000000000002</v>
      </c>
      <c r="D5" s="114"/>
    </row>
    <row r="6" spans="1:5" x14ac:dyDescent="0.25">
      <c r="A6" s="250" t="s">
        <v>79</v>
      </c>
      <c r="B6" s="251" t="s">
        <v>102</v>
      </c>
      <c r="C6" s="129">
        <f>'Box Canon'!AH6+'Box Canon'!AH12</f>
        <v>5499.8</v>
      </c>
      <c r="D6" s="114"/>
    </row>
    <row r="7" spans="1:5" x14ac:dyDescent="0.25">
      <c r="A7" s="250" t="s">
        <v>79</v>
      </c>
      <c r="B7" s="251" t="s">
        <v>81</v>
      </c>
      <c r="C7" s="129">
        <f>'Box Canon'!AH7+'Box Canon'!AH13</f>
        <v>16.32</v>
      </c>
      <c r="D7" s="114"/>
    </row>
    <row r="8" spans="1:5" x14ac:dyDescent="0.25">
      <c r="A8" s="250"/>
      <c r="B8" s="251"/>
      <c r="C8" s="129"/>
      <c r="D8" s="114"/>
    </row>
    <row r="9" spans="1:5" x14ac:dyDescent="0.25">
      <c r="A9" s="127" t="s">
        <v>84</v>
      </c>
      <c r="B9" s="128" t="s">
        <v>96</v>
      </c>
      <c r="C9" s="129">
        <f>-('Box Canon'!AH26+'Box Canon'!AH27)</f>
        <v>-85.909999999999741</v>
      </c>
      <c r="D9" s="114"/>
    </row>
    <row r="10" spans="1:5" ht="15.75" thickBot="1" x14ac:dyDescent="0.3">
      <c r="A10" s="180"/>
      <c r="B10" s="181"/>
      <c r="C10" s="182"/>
      <c r="D10" s="252"/>
      <c r="E10" s="168"/>
    </row>
    <row r="11" spans="1:5" x14ac:dyDescent="0.25">
      <c r="A11" s="114"/>
      <c r="B11" s="246" t="s">
        <v>64</v>
      </c>
      <c r="C11" s="204"/>
      <c r="D11" s="247">
        <f>SUM(C3:C9)</f>
        <v>66456.460000000006</v>
      </c>
    </row>
    <row r="12" spans="1:5" ht="15.75" thickBot="1" x14ac:dyDescent="0.3">
      <c r="C12" s="154"/>
    </row>
    <row r="13" spans="1:5" x14ac:dyDescent="0.25">
      <c r="A13" s="124" t="s">
        <v>60</v>
      </c>
      <c r="B13" s="125" t="s">
        <v>92</v>
      </c>
      <c r="C13" s="126">
        <f>'Box Canon'!AL20</f>
        <v>21361.229999999996</v>
      </c>
    </row>
    <row r="14" spans="1:5" x14ac:dyDescent="0.25">
      <c r="A14" s="127" t="s">
        <v>60</v>
      </c>
      <c r="B14" s="128" t="s">
        <v>94</v>
      </c>
      <c r="C14" s="129">
        <f>'Box Canon'!AM20</f>
        <v>283.04000000000002</v>
      </c>
    </row>
    <row r="15" spans="1:5" x14ac:dyDescent="0.25">
      <c r="A15" s="127" t="s">
        <v>60</v>
      </c>
      <c r="B15" s="128" t="s">
        <v>93</v>
      </c>
      <c r="C15" s="129">
        <f>'Box Canon'!AL21</f>
        <v>41415.680000000008</v>
      </c>
      <c r="E15" s="253">
        <f>D11-D22</f>
        <v>0</v>
      </c>
    </row>
    <row r="16" spans="1:5" x14ac:dyDescent="0.25">
      <c r="A16" s="127" t="s">
        <v>60</v>
      </c>
      <c r="B16" s="128" t="s">
        <v>95</v>
      </c>
      <c r="C16" s="129">
        <f>'Box Canon'!AM21</f>
        <v>1943.21</v>
      </c>
    </row>
    <row r="17" spans="1:4" x14ac:dyDescent="0.25">
      <c r="A17" s="127" t="s">
        <v>60</v>
      </c>
      <c r="B17" s="128" t="s">
        <v>207</v>
      </c>
      <c r="C17" s="129">
        <f>'Box Canon'!AL22</f>
        <v>55</v>
      </c>
    </row>
    <row r="18" spans="1:4" x14ac:dyDescent="0.25">
      <c r="A18" s="127" t="s">
        <v>60</v>
      </c>
      <c r="B18" s="128" t="s">
        <v>208</v>
      </c>
      <c r="C18" s="129">
        <f>'Box Canon'!AM22</f>
        <v>0</v>
      </c>
    </row>
    <row r="19" spans="1:4" x14ac:dyDescent="0.25">
      <c r="A19" s="127" t="s">
        <v>203</v>
      </c>
      <c r="B19" s="128" t="s">
        <v>224</v>
      </c>
      <c r="C19" s="129">
        <f>'Box Canon'!AL29+'Box Canon'!AM29</f>
        <v>1398.3</v>
      </c>
    </row>
    <row r="20" spans="1:4" x14ac:dyDescent="0.25">
      <c r="A20" s="127"/>
      <c r="B20" s="128"/>
      <c r="C20" s="129"/>
    </row>
    <row r="21" spans="1:4" ht="15.75" thickBot="1" x14ac:dyDescent="0.3">
      <c r="A21" s="180"/>
      <c r="B21" s="181"/>
      <c r="C21" s="182"/>
      <c r="D21" s="168"/>
    </row>
    <row r="22" spans="1:4" x14ac:dyDescent="0.25">
      <c r="B22" s="246" t="s">
        <v>65</v>
      </c>
      <c r="C22" s="204"/>
      <c r="D22" s="247">
        <f>SUM(C13:C20)</f>
        <v>66456.460000000006</v>
      </c>
    </row>
    <row r="23" spans="1:4" ht="15.75" thickBot="1" x14ac:dyDescent="0.3"/>
    <row r="24" spans="1:4" x14ac:dyDescent="0.25">
      <c r="B24" s="529" t="s">
        <v>57</v>
      </c>
      <c r="C24" s="530"/>
    </row>
    <row r="25" spans="1:4" x14ac:dyDescent="0.25">
      <c r="B25" s="141" t="s">
        <v>75</v>
      </c>
      <c r="C25" s="143">
        <f>'Box Canon'!AJ32</f>
        <v>6112</v>
      </c>
    </row>
    <row r="26" spans="1:4" x14ac:dyDescent="0.25">
      <c r="B26" s="141" t="s">
        <v>74</v>
      </c>
      <c r="C26" s="143">
        <f>'Box Canon'!AJ33</f>
        <v>1405</v>
      </c>
    </row>
    <row r="27" spans="1:4" x14ac:dyDescent="0.25">
      <c r="B27" s="141" t="s">
        <v>199</v>
      </c>
      <c r="C27" s="143">
        <f>'Box Canon'!AJ34</f>
        <v>102</v>
      </c>
    </row>
    <row r="28" spans="1:4" x14ac:dyDescent="0.25">
      <c r="B28" s="141" t="s">
        <v>72</v>
      </c>
      <c r="C28" s="143">
        <f>'Box Canon'!AJ35</f>
        <v>37</v>
      </c>
    </row>
    <row r="29" spans="1:4" x14ac:dyDescent="0.25">
      <c r="B29" s="141" t="s">
        <v>73</v>
      </c>
      <c r="C29" s="143">
        <f>'Box Canon'!AJ36</f>
        <v>1721</v>
      </c>
    </row>
    <row r="30" spans="1:4" x14ac:dyDescent="0.25">
      <c r="B30" s="141" t="s">
        <v>71</v>
      </c>
      <c r="C30" s="143">
        <f>'Box Canon'!AJ37</f>
        <v>350</v>
      </c>
    </row>
    <row r="31" spans="1:4" x14ac:dyDescent="0.25">
      <c r="B31" s="127"/>
      <c r="C31" s="243"/>
    </row>
    <row r="32" spans="1:4" ht="15.75" thickBot="1" x14ac:dyDescent="0.3">
      <c r="B32" s="244" t="s">
        <v>76</v>
      </c>
      <c r="C32" s="245">
        <f>SUM(C25:C30)</f>
        <v>9727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R13" sqref="R13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4" t="s">
        <v>209</v>
      </c>
      <c r="B1" s="252" t="str">
        <f>CONCATENATE('Cash Flow'!C1, " ",'Cash Flow'!D1)</f>
        <v>October 2023</v>
      </c>
    </row>
    <row r="2" spans="1:5" ht="15.75" thickBot="1" x14ac:dyDescent="0.3"/>
    <row r="3" spans="1:5" x14ac:dyDescent="0.25">
      <c r="A3" s="248" t="s">
        <v>61</v>
      </c>
      <c r="B3" s="249" t="s">
        <v>217</v>
      </c>
      <c r="C3" s="126">
        <f>'Visitor Center'!AH3</f>
        <v>103.64</v>
      </c>
      <c r="D3" s="114"/>
    </row>
    <row r="4" spans="1:5" x14ac:dyDescent="0.25">
      <c r="A4" s="250" t="s">
        <v>210</v>
      </c>
      <c r="B4" s="251" t="s">
        <v>211</v>
      </c>
      <c r="C4" s="129">
        <f>'Visitor Center'!AH4</f>
        <v>1096.1100000000001</v>
      </c>
      <c r="D4" s="114"/>
    </row>
    <row r="5" spans="1:5" x14ac:dyDescent="0.25">
      <c r="A5" s="250" t="s">
        <v>210</v>
      </c>
      <c r="B5" s="251" t="s">
        <v>235</v>
      </c>
      <c r="C5" s="129">
        <f>'Visitor Center'!AH5</f>
        <v>253</v>
      </c>
      <c r="D5" s="114"/>
    </row>
    <row r="6" spans="1:5" x14ac:dyDescent="0.25">
      <c r="A6" s="250" t="s">
        <v>210</v>
      </c>
      <c r="B6" s="251" t="s">
        <v>233</v>
      </c>
      <c r="C6" s="129">
        <f>'Visitor Center'!AH6</f>
        <v>227.25</v>
      </c>
      <c r="D6" s="114"/>
    </row>
    <row r="7" spans="1:5" x14ac:dyDescent="0.25">
      <c r="A7" s="250" t="s">
        <v>214</v>
      </c>
      <c r="B7" s="128" t="s">
        <v>215</v>
      </c>
      <c r="C7" s="129">
        <f>-'Visitor Center'!AL13</f>
        <v>0</v>
      </c>
      <c r="D7" s="114"/>
    </row>
    <row r="8" spans="1:5" ht="15.75" thickBot="1" x14ac:dyDescent="0.3">
      <c r="A8" s="180"/>
      <c r="B8" s="181"/>
      <c r="C8" s="182"/>
      <c r="D8" s="252"/>
      <c r="E8" s="168"/>
    </row>
    <row r="9" spans="1:5" x14ac:dyDescent="0.25">
      <c r="A9" s="114"/>
      <c r="B9" s="246" t="s">
        <v>64</v>
      </c>
      <c r="C9" s="204"/>
      <c r="D9" s="247">
        <f>SUM(C3:C7)</f>
        <v>1680.0000000000002</v>
      </c>
    </row>
    <row r="10" spans="1:5" ht="15.75" thickBot="1" x14ac:dyDescent="0.3">
      <c r="C10" s="154"/>
    </row>
    <row r="11" spans="1:5" x14ac:dyDescent="0.25">
      <c r="A11" s="124" t="s">
        <v>60</v>
      </c>
      <c r="B11" s="125" t="s">
        <v>218</v>
      </c>
      <c r="C11" s="126">
        <f>'Visitor Center'!AL9</f>
        <v>341.35999999999996</v>
      </c>
    </row>
    <row r="12" spans="1:5" x14ac:dyDescent="0.25">
      <c r="A12" s="127" t="s">
        <v>60</v>
      </c>
      <c r="B12" s="128" t="s">
        <v>219</v>
      </c>
      <c r="C12" s="129">
        <f>'Visitor Center'!AM9</f>
        <v>10.94</v>
      </c>
    </row>
    <row r="13" spans="1:5" x14ac:dyDescent="0.25">
      <c r="A13" s="127" t="s">
        <v>60</v>
      </c>
      <c r="B13" s="128" t="s">
        <v>220</v>
      </c>
      <c r="C13" s="129">
        <f>'Visitor Center'!AL10</f>
        <v>1261.3400000000004</v>
      </c>
      <c r="E13" s="253">
        <f>D9-D18</f>
        <v>0</v>
      </c>
    </row>
    <row r="14" spans="1:5" x14ac:dyDescent="0.25">
      <c r="A14" s="127" t="s">
        <v>60</v>
      </c>
      <c r="B14" s="128" t="s">
        <v>221</v>
      </c>
      <c r="C14" s="129">
        <f>'Visitor Center'!AM10</f>
        <v>24.91</v>
      </c>
    </row>
    <row r="15" spans="1:5" x14ac:dyDescent="0.25">
      <c r="A15" s="127" t="s">
        <v>216</v>
      </c>
      <c r="B15" s="128" t="s">
        <v>223</v>
      </c>
      <c r="C15" s="129">
        <f>'Visitor Center'!AL15+'Visitor Center'!AM15</f>
        <v>41.45</v>
      </c>
    </row>
    <row r="16" spans="1:5" x14ac:dyDescent="0.25">
      <c r="A16" s="127"/>
      <c r="B16" s="128"/>
      <c r="C16" s="129"/>
    </row>
    <row r="17" spans="1:4" ht="15.75" thickBot="1" x14ac:dyDescent="0.3">
      <c r="A17" s="180"/>
      <c r="B17" s="181"/>
      <c r="C17" s="182"/>
      <c r="D17" s="168"/>
    </row>
    <row r="18" spans="1:4" x14ac:dyDescent="0.25">
      <c r="B18" s="246" t="s">
        <v>65</v>
      </c>
      <c r="C18" s="204"/>
      <c r="D18" s="247">
        <f>SUM(C11:C16)</f>
        <v>1680.0000000000005</v>
      </c>
    </row>
  </sheetData>
  <sheetProtection algorithmName="SHA-512" hashValue="EWPzKkdZMsfjo53RLUFqS55yMv3wY+4LxRjqoesdK16+F4wD9Nxl9c2NUuJzwsfDGKD8/wFTJhGDLEwzyJuXIQ==" saltValue="fGOo4GIH3fv+F+SzrP82W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2023-11-07T18:54:11Z</cp:lastPrinted>
  <dcterms:created xsi:type="dcterms:W3CDTF">2017-08-14T15:26:56Z</dcterms:created>
  <dcterms:modified xsi:type="dcterms:W3CDTF">2023-11-07T19:01:26Z</dcterms:modified>
</cp:coreProperties>
</file>