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2\"/>
    </mc:Choice>
  </mc:AlternateContent>
  <bookViews>
    <workbookView xWindow="0" yWindow="0" windowWidth="20490" windowHeight="8340" firstSheet="2" activeTab="5"/>
  </bookViews>
  <sheets>
    <sheet name="Cash Flow" sheetId="2" r:id="rId1"/>
    <sheet name="Pool" sheetId="3" r:id="rId2"/>
    <sheet name="Pool Stats" sheetId="8" r:id="rId3"/>
    <sheet name="Box Canon" sheetId="9" r:id="rId4"/>
    <sheet name="Box Cañon JE" sheetId="7" r:id="rId5"/>
    <sheet name="POOL JE" sheetId="5" r:id="rId6"/>
  </sheets>
  <externalReferences>
    <externalReference r:id="rId7"/>
  </externalReferences>
  <definedNames>
    <definedName name="_xlnm.Print_Area" localSheetId="3">'Box Canon'!$A$2:$AH$43</definedName>
    <definedName name="_xlnm.Print_Area" localSheetId="4">'Box Cañon JE'!$A$1:$D$30</definedName>
    <definedName name="_xlnm.Print_Area" localSheetId="1">Pool!$A$1:$AH$54</definedName>
    <definedName name="_xlnm.Print_Area" localSheetId="5">'POOL JE'!$A$1:$C$61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34" i="3" l="1"/>
  <c r="AL34" i="3"/>
  <c r="E54" i="3" l="1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D54" i="3"/>
  <c r="E52" i="3"/>
  <c r="F52" i="3"/>
  <c r="G52" i="3"/>
  <c r="H52" i="3"/>
  <c r="I52" i="3"/>
  <c r="K52" i="3"/>
  <c r="D52" i="3"/>
  <c r="AH30" i="3" l="1"/>
  <c r="AH29" i="3"/>
  <c r="AM33" i="3"/>
  <c r="AL33" i="3"/>
  <c r="AM45" i="3"/>
  <c r="AL45" i="3"/>
  <c r="Z17" i="3" l="1"/>
  <c r="Z8" i="3"/>
  <c r="W17" i="3"/>
  <c r="V8" i="3"/>
  <c r="U8" i="3"/>
  <c r="L40" i="3" l="1"/>
  <c r="L39" i="3"/>
  <c r="N8" i="3"/>
  <c r="M8" i="3" l="1"/>
  <c r="L8" i="3"/>
  <c r="I17" i="3" l="1"/>
  <c r="F17" i="3"/>
  <c r="F8" i="3"/>
  <c r="E8" i="3"/>
  <c r="D8" i="3"/>
  <c r="D17" i="3"/>
  <c r="C43" i="5" l="1"/>
  <c r="C42" i="5"/>
  <c r="AH45" i="3"/>
  <c r="C9" i="7" l="1"/>
  <c r="AM35" i="3" l="1"/>
  <c r="AL35" i="3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C5" i="5" l="1"/>
  <c r="D40" i="3" l="1"/>
  <c r="E40" i="3"/>
  <c r="F40" i="3"/>
  <c r="G40" i="3"/>
  <c r="H40" i="3"/>
  <c r="I40" i="3"/>
  <c r="J40" i="3"/>
  <c r="K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C40" i="3"/>
  <c r="C16" i="7" l="1"/>
  <c r="C15" i="7"/>
  <c r="C14" i="7"/>
  <c r="C13" i="7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C17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C16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C9" i="9"/>
  <c r="C37" i="9" l="1"/>
  <c r="AG41" i="9"/>
  <c r="AF41" i="9"/>
  <c r="AE41" i="9"/>
  <c r="AD41" i="9"/>
  <c r="AC41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E41" i="9"/>
  <c r="D41" i="9"/>
  <c r="C41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C39" i="9"/>
  <c r="AG38" i="9"/>
  <c r="AF38" i="9"/>
  <c r="AE38" i="9"/>
  <c r="AD38" i="9"/>
  <c r="AC38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E38" i="9"/>
  <c r="D38" i="9"/>
  <c r="C38" i="9"/>
  <c r="AG37" i="9"/>
  <c r="AF37" i="9"/>
  <c r="AE37" i="9"/>
  <c r="AD37" i="9"/>
  <c r="AC37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O37" i="9"/>
  <c r="N37" i="9"/>
  <c r="M37" i="9"/>
  <c r="L37" i="9"/>
  <c r="K37" i="9"/>
  <c r="J37" i="9"/>
  <c r="I37" i="9"/>
  <c r="H37" i="9"/>
  <c r="G37" i="9"/>
  <c r="F37" i="9"/>
  <c r="E37" i="9"/>
  <c r="D37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C32" i="9"/>
  <c r="C33" i="9"/>
  <c r="C34" i="9"/>
  <c r="C35" i="9"/>
  <c r="C31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C3" i="7" s="1"/>
  <c r="AH4" i="9"/>
  <c r="AH5" i="9"/>
  <c r="AH6" i="9"/>
  <c r="C6" i="7" s="1"/>
  <c r="AH7" i="9"/>
  <c r="AH8" i="9"/>
  <c r="AH10" i="9"/>
  <c r="AH11" i="9"/>
  <c r="AH12" i="9"/>
  <c r="AH13" i="9"/>
  <c r="AH14" i="9"/>
  <c r="AH15" i="9"/>
  <c r="AH16" i="9"/>
  <c r="A20" i="9"/>
  <c r="T27" i="9"/>
  <c r="V25" i="9"/>
  <c r="X27" i="9"/>
  <c r="Z25" i="9"/>
  <c r="AB27" i="9"/>
  <c r="AD25" i="9"/>
  <c r="AF27" i="9"/>
  <c r="AH20" i="9"/>
  <c r="A21" i="9"/>
  <c r="T28" i="9"/>
  <c r="V28" i="9"/>
  <c r="X28" i="9"/>
  <c r="Z28" i="9"/>
  <c r="AB28" i="9"/>
  <c r="AD28" i="9"/>
  <c r="AF28" i="9"/>
  <c r="AH21" i="9"/>
  <c r="A22" i="9"/>
  <c r="AH22" i="9"/>
  <c r="A23" i="9"/>
  <c r="AH23" i="9"/>
  <c r="AH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U25" i="9"/>
  <c r="W25" i="9"/>
  <c r="Y25" i="9"/>
  <c r="AA25" i="9"/>
  <c r="AC25" i="9"/>
  <c r="AE25" i="9"/>
  <c r="AG25" i="9"/>
  <c r="AL26" i="9"/>
  <c r="AN26" i="9" s="1"/>
  <c r="C27" i="9"/>
  <c r="E27" i="9"/>
  <c r="G27" i="9"/>
  <c r="I27" i="9"/>
  <c r="K27" i="9"/>
  <c r="M27" i="9"/>
  <c r="O27" i="9"/>
  <c r="Q27" i="9"/>
  <c r="S27" i="9"/>
  <c r="U27" i="9"/>
  <c r="W27" i="9"/>
  <c r="Y27" i="9"/>
  <c r="AA27" i="9"/>
  <c r="AC27" i="9"/>
  <c r="AE27" i="9"/>
  <c r="AG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U28" i="9"/>
  <c r="W28" i="9"/>
  <c r="Y28" i="9"/>
  <c r="AA28" i="9"/>
  <c r="AC28" i="9"/>
  <c r="AE28" i="9"/>
  <c r="AG28" i="9"/>
  <c r="AJ43" i="9"/>
  <c r="G43" i="9" l="1"/>
  <c r="Z36" i="9"/>
  <c r="X42" i="9"/>
  <c r="D42" i="9"/>
  <c r="I42" i="9"/>
  <c r="Y36" i="9"/>
  <c r="J36" i="9"/>
  <c r="K36" i="9"/>
  <c r="H42" i="9"/>
  <c r="P42" i="9"/>
  <c r="AF42" i="9"/>
  <c r="R36" i="9"/>
  <c r="Q42" i="9"/>
  <c r="C36" i="9"/>
  <c r="W43" i="9"/>
  <c r="O36" i="9"/>
  <c r="G36" i="9"/>
  <c r="AC36" i="9"/>
  <c r="U36" i="9"/>
  <c r="M36" i="9"/>
  <c r="E36" i="9"/>
  <c r="AH39" i="9"/>
  <c r="AJ33" i="9" s="1"/>
  <c r="C25" i="7" s="1"/>
  <c r="AA36" i="9"/>
  <c r="S36" i="9"/>
  <c r="AG36" i="9"/>
  <c r="Q36" i="9"/>
  <c r="I36" i="9"/>
  <c r="AE36" i="9"/>
  <c r="AH33" i="9"/>
  <c r="N36" i="9"/>
  <c r="F36" i="9"/>
  <c r="D36" i="9"/>
  <c r="L42" i="9"/>
  <c r="T42" i="9"/>
  <c r="AB42" i="9"/>
  <c r="W36" i="9"/>
  <c r="AH38" i="9"/>
  <c r="AD42" i="9"/>
  <c r="O43" i="9"/>
  <c r="C4" i="7"/>
  <c r="L36" i="9"/>
  <c r="AD36" i="9"/>
  <c r="V36" i="9"/>
  <c r="AB36" i="9"/>
  <c r="U43" i="9"/>
  <c r="AA43" i="9"/>
  <c r="F42" i="9"/>
  <c r="C7" i="7"/>
  <c r="P36" i="9"/>
  <c r="H36" i="9"/>
  <c r="AC42" i="9"/>
  <c r="N43" i="9"/>
  <c r="AH37" i="9"/>
  <c r="S43" i="9"/>
  <c r="E42" i="9"/>
  <c r="V42" i="9"/>
  <c r="AE43" i="9"/>
  <c r="AF36" i="9"/>
  <c r="X36" i="9"/>
  <c r="G42" i="9"/>
  <c r="O42" i="9"/>
  <c r="W42" i="9"/>
  <c r="AE42" i="9"/>
  <c r="Y42" i="9"/>
  <c r="AG42" i="9"/>
  <c r="J42" i="9"/>
  <c r="R42" i="9"/>
  <c r="Z43" i="9"/>
  <c r="AH41" i="9"/>
  <c r="K43" i="9"/>
  <c r="M43" i="9"/>
  <c r="N42" i="9"/>
  <c r="C5" i="7"/>
  <c r="C42" i="9"/>
  <c r="AC43" i="9"/>
  <c r="E43" i="9"/>
  <c r="AA42" i="9"/>
  <c r="AG43" i="9"/>
  <c r="Y43" i="9"/>
  <c r="Q43" i="9"/>
  <c r="I43" i="9"/>
  <c r="U42" i="9"/>
  <c r="M42" i="9"/>
  <c r="AH40" i="9"/>
  <c r="V43" i="9"/>
  <c r="P43" i="9"/>
  <c r="L43" i="9"/>
  <c r="H43" i="9"/>
  <c r="D43" i="9"/>
  <c r="S42" i="9"/>
  <c r="AD43" i="9"/>
  <c r="R43" i="9"/>
  <c r="J43" i="9"/>
  <c r="F43" i="9"/>
  <c r="K42" i="9"/>
  <c r="C43" i="9"/>
  <c r="Z42" i="9"/>
  <c r="AH35" i="9"/>
  <c r="AH34" i="9"/>
  <c r="AH31" i="9"/>
  <c r="AJ31" i="9" s="1"/>
  <c r="C23" i="7" s="1"/>
  <c r="AH28" i="9"/>
  <c r="AH17" i="9"/>
  <c r="AH9" i="9"/>
  <c r="AF43" i="9"/>
  <c r="AB43" i="9"/>
  <c r="X43" i="9"/>
  <c r="T43" i="9"/>
  <c r="AH32" i="9"/>
  <c r="AJ32" i="9" s="1"/>
  <c r="C24" i="7" s="1"/>
  <c r="AD27" i="9"/>
  <c r="Z27" i="9"/>
  <c r="V27" i="9"/>
  <c r="R27" i="9"/>
  <c r="N27" i="9"/>
  <c r="J27" i="9"/>
  <c r="F27" i="9"/>
  <c r="AF25" i="9"/>
  <c r="AB25" i="9"/>
  <c r="X25" i="9"/>
  <c r="T25" i="9"/>
  <c r="T36" i="9"/>
  <c r="P27" i="9"/>
  <c r="L27" i="9"/>
  <c r="H27" i="9"/>
  <c r="D27" i="9"/>
  <c r="AJ35" i="9" l="1"/>
  <c r="C27" i="7" s="1"/>
  <c r="AJ34" i="9"/>
  <c r="C26" i="7" s="1"/>
  <c r="AH25" i="9"/>
  <c r="AH42" i="9"/>
  <c r="AH36" i="9"/>
  <c r="AH27" i="9"/>
  <c r="AH43" i="9"/>
  <c r="AH5" i="3" l="1"/>
  <c r="AH20" i="3" l="1"/>
  <c r="C16" i="5" s="1"/>
  <c r="AH9" i="3"/>
  <c r="C7" i="5" s="1"/>
  <c r="AH10" i="3"/>
  <c r="C8" i="5" s="1"/>
  <c r="AH11" i="3"/>
  <c r="C27" i="5" s="1"/>
  <c r="AH12" i="3"/>
  <c r="C28" i="5" s="1"/>
  <c r="AH13" i="3"/>
  <c r="C29" i="5" s="1"/>
  <c r="B1" i="3" l="1"/>
  <c r="AE54" i="3" l="1"/>
  <c r="AF54" i="3"/>
  <c r="AG54" i="3"/>
  <c r="C54" i="3"/>
  <c r="AH8" i="3" l="1"/>
  <c r="C6" i="5" s="1"/>
  <c r="AH7" i="3"/>
  <c r="M2" i="8" l="1" a="1"/>
  <c r="M5" i="8" s="1"/>
  <c r="L2" i="8" a="1"/>
  <c r="L3" i="8" s="1"/>
  <c r="K2" i="8" a="1"/>
  <c r="K4" i="8" s="1"/>
  <c r="I2" i="8" a="1"/>
  <c r="I5" i="8" s="1"/>
  <c r="H2" i="8" a="1"/>
  <c r="H5" i="8" s="1"/>
  <c r="G2" i="8" a="1"/>
  <c r="G5" i="8" s="1"/>
  <c r="F2" i="8" a="1"/>
  <c r="F5" i="8" s="1"/>
  <c r="E2" i="8" a="1"/>
  <c r="E5" i="8" s="1"/>
  <c r="D2" i="8" a="1"/>
  <c r="D2" i="8" s="1"/>
  <c r="C2" i="8" a="1"/>
  <c r="C4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H32" i="8"/>
  <c r="H28" i="8"/>
  <c r="H24" i="8"/>
  <c r="H20" i="8"/>
  <c r="H16" i="8"/>
  <c r="H12" i="8"/>
  <c r="H8" i="8"/>
  <c r="H4" i="8"/>
  <c r="H31" i="8"/>
  <c r="H27" i="8"/>
  <c r="H23" i="8"/>
  <c r="H19" i="8"/>
  <c r="H15" i="8"/>
  <c r="H11" i="8"/>
  <c r="H7" i="8"/>
  <c r="H3" i="8"/>
  <c r="H30" i="8"/>
  <c r="H26" i="8"/>
  <c r="H22" i="8"/>
  <c r="H18" i="8"/>
  <c r="H14" i="8"/>
  <c r="H10" i="8"/>
  <c r="H6" i="8"/>
  <c r="H2" i="8"/>
  <c r="H29" i="8"/>
  <c r="H25" i="8"/>
  <c r="H21" i="8"/>
  <c r="H17" i="8"/>
  <c r="H13" i="8"/>
  <c r="H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C31" i="8"/>
  <c r="C27" i="8"/>
  <c r="C23" i="8"/>
  <c r="C19" i="8"/>
  <c r="C15" i="8"/>
  <c r="C11" i="8"/>
  <c r="C7" i="8"/>
  <c r="C3" i="8"/>
  <c r="C30" i="8"/>
  <c r="C26" i="8"/>
  <c r="C22" i="8"/>
  <c r="C18" i="8"/>
  <c r="C14" i="8"/>
  <c r="C10" i="8"/>
  <c r="C6" i="8"/>
  <c r="C2" i="8"/>
  <c r="C29" i="8"/>
  <c r="C25" i="8"/>
  <c r="C21" i="8"/>
  <c r="C17" i="8"/>
  <c r="C13" i="8"/>
  <c r="C9" i="8"/>
  <c r="C5" i="8"/>
  <c r="C32" i="8"/>
  <c r="C28" i="8"/>
  <c r="C24" i="8"/>
  <c r="C20" i="8"/>
  <c r="C16" i="8"/>
  <c r="C12" i="8"/>
  <c r="C8" i="8"/>
  <c r="A2" i="8"/>
  <c r="A3" i="8" s="1"/>
  <c r="B3" i="8" l="1"/>
  <c r="A4" i="8"/>
  <c r="B2" i="8"/>
  <c r="I34" i="8" l="1"/>
  <c r="B4" i="8"/>
  <c r="A5" i="8"/>
  <c r="G34" i="8"/>
  <c r="H34" i="8"/>
  <c r="C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60" i="3" l="1"/>
  <c r="AJ60" i="3" s="1"/>
  <c r="C61" i="5" s="1"/>
  <c r="AH59" i="3"/>
  <c r="AJ59" i="3" s="1"/>
  <c r="M34" i="8" s="1"/>
  <c r="AH58" i="3"/>
  <c r="AJ58" i="3" s="1"/>
  <c r="L34" i="8" s="1"/>
  <c r="AH57" i="3"/>
  <c r="AJ57" i="3" s="1"/>
  <c r="K34" i="8" s="1"/>
  <c r="C60" i="5" l="1"/>
  <c r="C59" i="5"/>
  <c r="C58" i="5"/>
  <c r="C45" i="5" l="1"/>
  <c r="C41" i="5"/>
  <c r="C39" i="5"/>
  <c r="C37" i="5"/>
  <c r="C38" i="5" l="1"/>
  <c r="C36" i="5" l="1"/>
  <c r="AH54" i="3" l="1"/>
  <c r="AJ54" i="3" s="1"/>
  <c r="C55" i="5" s="1"/>
  <c r="B8" i="2"/>
  <c r="B1" i="7" l="1"/>
  <c r="AH16" i="3" l="1"/>
  <c r="C11" i="5" s="1"/>
  <c r="AH17" i="3"/>
  <c r="C12" i="5" s="1"/>
  <c r="D50" i="3" l="1"/>
  <c r="E50" i="3"/>
  <c r="F50" i="3"/>
  <c r="G50" i="3"/>
  <c r="H50" i="3"/>
  <c r="I50" i="3"/>
  <c r="J50" i="3"/>
  <c r="J52" i="3" s="1"/>
  <c r="K50" i="3"/>
  <c r="L50" i="3"/>
  <c r="L52" i="3" s="1"/>
  <c r="M50" i="3"/>
  <c r="M52" i="3" s="1"/>
  <c r="N50" i="3"/>
  <c r="N52" i="3" s="1"/>
  <c r="O50" i="3"/>
  <c r="O52" i="3" s="1"/>
  <c r="P50" i="3"/>
  <c r="P52" i="3" s="1"/>
  <c r="Q50" i="3"/>
  <c r="Q52" i="3" s="1"/>
  <c r="R50" i="3"/>
  <c r="R52" i="3" s="1"/>
  <c r="S50" i="3"/>
  <c r="S52" i="3" s="1"/>
  <c r="T50" i="3"/>
  <c r="T52" i="3" s="1"/>
  <c r="U50" i="3"/>
  <c r="U52" i="3" s="1"/>
  <c r="V50" i="3"/>
  <c r="V52" i="3" s="1"/>
  <c r="W50" i="3"/>
  <c r="W52" i="3" s="1"/>
  <c r="X50" i="3"/>
  <c r="X52" i="3" s="1"/>
  <c r="Y50" i="3"/>
  <c r="Y52" i="3" s="1"/>
  <c r="Z50" i="3"/>
  <c r="Z52" i="3" s="1"/>
  <c r="AA50" i="3"/>
  <c r="AA52" i="3" s="1"/>
  <c r="AB50" i="3"/>
  <c r="AB52" i="3" s="1"/>
  <c r="AC50" i="3"/>
  <c r="AC52" i="3" s="1"/>
  <c r="AD50" i="3"/>
  <c r="AD52" i="3" s="1"/>
  <c r="AE50" i="3"/>
  <c r="AE52" i="3" s="1"/>
  <c r="AF50" i="3"/>
  <c r="AF52" i="3" s="1"/>
  <c r="AG50" i="3"/>
  <c r="AG52" i="3" s="1"/>
  <c r="C50" i="3"/>
  <c r="C52" i="3" s="1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8" i="3"/>
  <c r="AH47" i="3"/>
  <c r="AJ47" i="3" s="1"/>
  <c r="AH40" i="3"/>
  <c r="AH34" i="3"/>
  <c r="AH35" i="3"/>
  <c r="C40" i="5" s="1"/>
  <c r="AH36" i="3"/>
  <c r="AH37" i="3"/>
  <c r="AL37" i="3" s="1"/>
  <c r="C47" i="5" s="1"/>
  <c r="AH38" i="3"/>
  <c r="AL38" i="3" s="1"/>
  <c r="C48" i="5" s="1"/>
  <c r="AJ48" i="3" l="1"/>
  <c r="C52" i="5" s="1"/>
  <c r="AL39" i="3"/>
  <c r="C44" i="5"/>
  <c r="O34" i="8"/>
  <c r="C51" i="5"/>
  <c r="C53" i="5" l="1"/>
  <c r="AH52" i="3"/>
  <c r="AJ52" i="3" s="1"/>
  <c r="AH50" i="3"/>
  <c r="AJ50" i="3" s="1"/>
  <c r="AH26" i="3" l="1"/>
  <c r="C21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3" i="3" l="1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D39" i="3"/>
  <c r="D41" i="3" s="1"/>
  <c r="E39" i="3"/>
  <c r="E41" i="3" s="1"/>
  <c r="F39" i="3"/>
  <c r="F41" i="3" s="1"/>
  <c r="G39" i="3"/>
  <c r="G41" i="3" s="1"/>
  <c r="H39" i="3"/>
  <c r="H41" i="3" s="1"/>
  <c r="I39" i="3"/>
  <c r="I41" i="3" s="1"/>
  <c r="J39" i="3"/>
  <c r="J41" i="3" s="1"/>
  <c r="K39" i="3"/>
  <c r="K41" i="3" s="1"/>
  <c r="M39" i="3"/>
  <c r="M41" i="3" s="1"/>
  <c r="N39" i="3"/>
  <c r="N41" i="3" s="1"/>
  <c r="O39" i="3"/>
  <c r="O41" i="3" s="1"/>
  <c r="P39" i="3"/>
  <c r="P41" i="3" s="1"/>
  <c r="Q39" i="3"/>
  <c r="Q41" i="3" s="1"/>
  <c r="R39" i="3"/>
  <c r="R41" i="3" s="1"/>
  <c r="S39" i="3"/>
  <c r="S41" i="3" s="1"/>
  <c r="T39" i="3"/>
  <c r="T41" i="3" s="1"/>
  <c r="U39" i="3"/>
  <c r="U41" i="3" s="1"/>
  <c r="V39" i="3"/>
  <c r="V41" i="3" s="1"/>
  <c r="W39" i="3"/>
  <c r="W41" i="3" s="1"/>
  <c r="X39" i="3"/>
  <c r="X41" i="3" s="1"/>
  <c r="Y39" i="3"/>
  <c r="Y41" i="3" s="1"/>
  <c r="Z39" i="3"/>
  <c r="Z41" i="3" s="1"/>
  <c r="AA39" i="3"/>
  <c r="AA41" i="3" s="1"/>
  <c r="AB39" i="3"/>
  <c r="AB41" i="3" s="1"/>
  <c r="AC39" i="3"/>
  <c r="AC41" i="3" s="1"/>
  <c r="AD39" i="3"/>
  <c r="AD41" i="3" s="1"/>
  <c r="AE39" i="3"/>
  <c r="AE41" i="3" s="1"/>
  <c r="AF39" i="3"/>
  <c r="AF41" i="3" s="1"/>
  <c r="AG39" i="3"/>
  <c r="AG41" i="3" s="1"/>
  <c r="D29" i="3"/>
  <c r="D31" i="3" s="1"/>
  <c r="E29" i="3"/>
  <c r="E31" i="3" s="1"/>
  <c r="F29" i="3"/>
  <c r="F31" i="3" s="1"/>
  <c r="G29" i="3"/>
  <c r="G31" i="3" s="1"/>
  <c r="H29" i="3"/>
  <c r="H31" i="3" s="1"/>
  <c r="I29" i="3"/>
  <c r="I31" i="3" s="1"/>
  <c r="J29" i="3"/>
  <c r="J31" i="3" s="1"/>
  <c r="K29" i="3"/>
  <c r="K31" i="3" s="1"/>
  <c r="L29" i="3"/>
  <c r="L31" i="3" s="1"/>
  <c r="M29" i="3"/>
  <c r="M31" i="3" s="1"/>
  <c r="N29" i="3"/>
  <c r="N31" i="3" s="1"/>
  <c r="O29" i="3"/>
  <c r="O31" i="3" s="1"/>
  <c r="P29" i="3"/>
  <c r="P31" i="3" s="1"/>
  <c r="Q29" i="3"/>
  <c r="Q31" i="3" s="1"/>
  <c r="R29" i="3"/>
  <c r="R31" i="3" s="1"/>
  <c r="S29" i="3"/>
  <c r="S31" i="3" s="1"/>
  <c r="T29" i="3"/>
  <c r="T31" i="3" s="1"/>
  <c r="U29" i="3"/>
  <c r="U31" i="3" s="1"/>
  <c r="V29" i="3"/>
  <c r="V31" i="3" s="1"/>
  <c r="W29" i="3"/>
  <c r="W31" i="3" s="1"/>
  <c r="X29" i="3"/>
  <c r="X31" i="3" s="1"/>
  <c r="Y29" i="3"/>
  <c r="Y31" i="3" s="1"/>
  <c r="Z29" i="3"/>
  <c r="Z31" i="3" s="1"/>
  <c r="AA29" i="3"/>
  <c r="AA31" i="3" s="1"/>
  <c r="AB29" i="3"/>
  <c r="AB31" i="3" s="1"/>
  <c r="AC29" i="3"/>
  <c r="AC31" i="3" s="1"/>
  <c r="AD29" i="3"/>
  <c r="AD31" i="3" s="1"/>
  <c r="AE29" i="3"/>
  <c r="AE31" i="3" s="1"/>
  <c r="AF29" i="3"/>
  <c r="AF31" i="3" s="1"/>
  <c r="AG29" i="3"/>
  <c r="AG31" i="3" s="1"/>
  <c r="AH33" i="3"/>
  <c r="AH4" i="3"/>
  <c r="AH6" i="3"/>
  <c r="AH14" i="3"/>
  <c r="C9" i="5" s="1"/>
  <c r="AH15" i="3"/>
  <c r="C10" i="5" s="1"/>
  <c r="AH18" i="3"/>
  <c r="AL18" i="3" s="1"/>
  <c r="AH19" i="3"/>
  <c r="C14" i="5" s="1"/>
  <c r="AH21" i="3"/>
  <c r="C15" i="5" s="1"/>
  <c r="AH22" i="3"/>
  <c r="C17" i="5" s="1"/>
  <c r="AH23" i="3"/>
  <c r="C18" i="5" s="1"/>
  <c r="AH24" i="3"/>
  <c r="C19" i="5" s="1"/>
  <c r="AH25" i="3"/>
  <c r="C20" i="5" s="1"/>
  <c r="AH27" i="3"/>
  <c r="C22" i="5" s="1"/>
  <c r="AH28" i="3"/>
  <c r="C30" i="5" s="1"/>
  <c r="AH3" i="3"/>
  <c r="C26" i="5" s="1"/>
  <c r="C43" i="3"/>
  <c r="C29" i="3"/>
  <c r="C31" i="3" s="1"/>
  <c r="R40" i="2"/>
  <c r="Q40" i="2"/>
  <c r="P40" i="2"/>
  <c r="O40" i="2"/>
  <c r="R42" i="2" s="1"/>
  <c r="M40" i="2"/>
  <c r="L40" i="2"/>
  <c r="K40" i="2"/>
  <c r="J40" i="2"/>
  <c r="F40" i="2"/>
  <c r="E40" i="2"/>
  <c r="A9" i="2"/>
  <c r="C31" i="5" l="1"/>
  <c r="C13" i="5"/>
  <c r="A10" i="2"/>
  <c r="B9" i="2"/>
  <c r="C40" i="2"/>
  <c r="G40" i="2"/>
  <c r="E43" i="3"/>
  <c r="AH43" i="3" s="1"/>
  <c r="AH31" i="3"/>
  <c r="C39" i="3"/>
  <c r="O42" i="2"/>
  <c r="Q42" i="2"/>
  <c r="C4" i="5" l="1"/>
  <c r="C23" i="5" s="1"/>
  <c r="C33" i="5" s="1"/>
  <c r="A11" i="2"/>
  <c r="B10" i="2"/>
  <c r="AL43" i="3"/>
  <c r="AH39" i="3"/>
  <c r="AN39" i="3" s="1"/>
  <c r="C41" i="3"/>
  <c r="AH41" i="3" s="1"/>
  <c r="C46" i="5" l="1"/>
  <c r="C49" i="5" s="1"/>
  <c r="AM44" i="3"/>
  <c r="AN44" i="3" s="1"/>
  <c r="AJ41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9" l="1" a="1"/>
  <c r="C1" i="3" a="1"/>
  <c r="AG1" i="9" l="1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C29" i="7"/>
  <c r="D20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Julie Lancaster</author>
    <author>MartyJo Davis</author>
  </authors>
  <commentList>
    <comment ref="I15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129.90 report total</t>
        </r>
      </text>
    </comment>
    <comment ref="AJ18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50% 50-40-4030
50% 50-43-4010
</t>
        </r>
      </text>
    </comment>
    <comment ref="AN3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D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K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M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N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O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P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V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W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Y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C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N43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8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50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2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4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MartyJo Davis</author>
  </authors>
  <commentList>
    <comment ref="AN25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</commentList>
</comments>
</file>

<file path=xl/comments4.xml><?xml version="1.0" encoding="utf-8"?>
<comments xmlns="http://schemas.openxmlformats.org/spreadsheetml/2006/main">
  <authors>
    <author>MartyJo Davis</author>
  </authors>
  <commentList>
    <comment ref="B5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5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<sst xmlns="http://schemas.openxmlformats.org/spreadsheetml/2006/main" count="455" uniqueCount="216">
  <si>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</si>
  <si>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</si>
  <si>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</si>
  <si>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</si>
  <si>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</si>
  <si>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</si>
  <si>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</si>
  <si>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</si>
  <si>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</si>
  <si>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</si>
  <si>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</si>
  <si>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</si>
  <si>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</si>
  <si>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</si>
  <si>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</si>
  <si>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</si>
  <si>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</si>
  <si>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</si>
  <si>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</si>
  <si>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</si>
  <si>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</si>
  <si>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</si>
  <si>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</si>
  <si>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</si>
  <si>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</si>
  <si>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</si>
  <si>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</si>
  <si>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</si>
  <si>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</si>
  <si>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</si>
  <si>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</si>
  <si>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</si>
  <si>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</si>
  <si>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</si>
  <si>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</si>
  <si>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</si>
  <si>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</si>
  <si>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</si>
  <si>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</si>
  <si>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</si>
  <si>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</si>
  <si>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</si>
  <si>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</si>
  <si>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</si>
  <si>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</si>
  <si>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</si>
  <si>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</si>
  <si>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</si>
  <si>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</si>
  <si>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</si>
  <si>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</si>
  <si>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</si>
  <si>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</si>
  <si>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</si>
  <si>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</si>
  <si>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</si>
  <si>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</si>
  <si>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</si>
  <si>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</si>
  <si>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</si>
  <si>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</si>
  <si>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</si>
  <si>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</si>
  <si>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</si>
  <si>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Pool/Gym Revenue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</si>
  <si>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</si>
  <si>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</si>
  <si>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</si>
  <si>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</si>
  <si>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</si>
  <si>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</si>
  <si>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</si>
  <si>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</si>
  <si>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</si>
  <si>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</si>
  <si>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</si>
  <si>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</si>
  <si>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</si>
  <si>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</si>
  <si>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</si>
  <si>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</si>
  <si>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</si>
  <si>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</si>
  <si>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</si>
  <si>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</si>
  <si>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</si>
  <si>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</t>
  </si>
  <si>
    <t>Unearned Payment Acct.  Gift Certificates</t>
  </si>
  <si>
    <t>Candy (Concessions)</t>
  </si>
  <si>
    <t>Cards/Film (Concessions)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</si>
  <si>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</si>
  <si>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</si>
  <si>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</si>
  <si>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</si>
  <si>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</si>
  <si>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</si>
  <si>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</si>
  <si>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</si>
  <si>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</si>
  <si>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</si>
  <si>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</si>
  <si>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</si>
  <si>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</si>
  <si>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</si>
  <si>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</si>
  <si>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</si>
  <si>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</si>
  <si>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</si>
  <si>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r>
      <t xml:space="preserve">Pool/Gym Revenue </t>
    </r>
    <r>
      <rPr>
        <i/>
        <sz val="8"/>
        <color theme="1"/>
        <rFont val="Calibri"/>
        <family val="2"/>
        <scheme val="minor"/>
      </rPr>
      <t>**50/50 **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</si>
  <si>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</si>
  <si>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</si>
  <si>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</si>
  <si>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</si>
  <si>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</si>
  <si>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</si>
  <si>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</si>
  <si>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</si>
  <si>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</si>
  <si>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</si>
  <si>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>CC Processor Adjustments Cleared</t>
  </si>
  <si>
    <t>CC Processor Adjustments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</si>
  <si>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</si>
  <si>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</si>
  <si>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</si>
  <si>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</si>
  <si>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</si>
  <si>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</si>
  <si>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</si>
  <si>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</si>
  <si>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</si>
  <si>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</si>
  <si>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</si>
  <si>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</si>
  <si>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</si>
  <si>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</si>
  <si>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</si>
  <si>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</si>
  <si>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</si>
  <si>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</si>
  <si>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</si>
  <si>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</si>
  <si>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</si>
  <si>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</si>
  <si>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</si>
  <si>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</si>
  <si>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</si>
  <si>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</si>
  <si>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</si>
  <si>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</si>
  <si>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</si>
  <si>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</si>
  <si>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</si>
  <si>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</si>
  <si>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</si>
  <si>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</si>
  <si>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</si>
  <si>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</si>
  <si>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</si>
  <si>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</si>
  <si>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</si>
  <si>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</si>
  <si>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</si>
  <si>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</si>
  <si>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</si>
  <si>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</si>
  <si>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</si>
  <si>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</si>
  <si>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</si>
  <si>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</si>
  <si>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</si>
  <si>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</si>
  <si>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</si>
  <si>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</si>
  <si>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</si>
  <si>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</si>
  <si>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>Day use passes used at either gym or pool get split 50/50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</si>
  <si>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</si>
  <si>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</si>
  <si>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</si>
  <si>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</si>
  <si>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Admission - Motel Pass (Bulk)</t>
  </si>
  <si>
    <t>Redeemed Gift Certificates</t>
  </si>
  <si>
    <t>Pool Admissions + Motel Bulk Admission +50% Pool/Gym Rev. - Admission Discounts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</si>
  <si>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</si>
  <si>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</si>
  <si>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</si>
  <si>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</si>
  <si>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</si>
  <si>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</si>
  <si>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</si>
  <si>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</si>
  <si>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</si>
  <si>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</si>
  <si>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</si>
  <si>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</si>
  <si>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</si>
  <si>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</si>
  <si>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</si>
  <si>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</si>
  <si>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</si>
  <si>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</si>
  <si>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</si>
  <si>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</si>
  <si>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</si>
  <si>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**50/50**</t>
  </si>
  <si>
    <t>All pool memberships + 50% pool/gym memberships</t>
  </si>
  <si>
    <t>Gym only passes/memberships + 50% pool/gym rev.</t>
  </si>
  <si>
    <t>Slide Add-on</t>
  </si>
  <si>
    <t>10-45-4205</t>
  </si>
  <si>
    <t>Processing Fees</t>
  </si>
  <si>
    <t>50-50-6150</t>
  </si>
  <si>
    <t>CC Processing Fees</t>
  </si>
  <si>
    <t>CC Processing Fees Cleared</t>
  </si>
  <si>
    <t>CC Processing Fees Outstanding</t>
  </si>
  <si>
    <t>February</t>
  </si>
  <si>
    <t>Pool Credit Card less processing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</si>
</sst>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4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43" fontId="21" fillId="0" borderId="0" xfId="0" applyNumberFormat="1" applyFont="1" applyBorder="1" applyProtection="1">
      <protection locked="0"/>
    </xf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43" fontId="23" fillId="0" borderId="20" xfId="1" applyNumberFormat="1" applyFont="1" applyBorder="1" applyProtection="1"/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0" fontId="12" fillId="0" borderId="17" xfId="0" applyFont="1" applyFill="1" applyBorder="1" applyAlignment="1" applyProtection="1">
      <alignment horizontal="center"/>
      <protection locked="0"/>
    </xf>
    <xf numFmtId="0" fontId="0" fillId="0" borderId="18" xfId="0" applyFont="1" applyFill="1" applyBorder="1" applyAlignment="1" applyProtection="1">
      <alignment horizontal="center"/>
      <protection locked="0"/>
    </xf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0" fontId="12" fillId="0" borderId="63" xfId="0" applyFont="1" applyBorder="1"/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12" fillId="0" borderId="72" xfId="0" applyFont="1" applyBorder="1" applyProtection="1"/>
    <xf numFmtId="0" fontId="12" fillId="0" borderId="73" xfId="0" applyFont="1" applyBorder="1" applyProtection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0" fontId="12" fillId="0" borderId="37" xfId="0" applyFont="1" applyBorder="1" applyAlignment="1" applyProtection="1">
      <alignment horizontal="right"/>
      <protection locked="0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9" xfId="0" applyFont="1" applyBorder="1" applyAlignment="1" applyProtection="1">
      <alignment horizontal="right"/>
    </xf>
    <xf numFmtId="41" fontId="21" fillId="0" borderId="77" xfId="0" applyNumberFormat="1" applyFont="1" applyBorder="1" applyProtection="1"/>
    <xf numFmtId="41" fontId="0" fillId="0" borderId="78" xfId="0" applyNumberFormat="1" applyBorder="1" applyProtection="1"/>
    <xf numFmtId="41" fontId="0" fillId="0" borderId="79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25" xfId="0" applyNumberFormat="1" applyFont="1" applyFill="1" applyBorder="1" applyProtection="1"/>
    <xf numFmtId="43" fontId="14" fillId="0" borderId="68" xfId="0" applyNumberFormat="1" applyFont="1" applyFill="1" applyBorder="1" applyProtection="1"/>
    <xf numFmtId="43" fontId="12" fillId="0" borderId="63" xfId="0" applyNumberFormat="1" applyFont="1" applyBorder="1"/>
    <xf numFmtId="43" fontId="14" fillId="0" borderId="67" xfId="0" applyNumberFormat="1" applyFont="1" applyFill="1" applyBorder="1" applyProtection="1"/>
    <xf numFmtId="43" fontId="12" fillId="0" borderId="73" xfId="0" applyNumberFormat="1" applyFont="1" applyBorder="1" applyProtection="1"/>
    <xf numFmtId="43" fontId="14" fillId="0" borderId="80" xfId="0" applyNumberFormat="1" applyFont="1" applyFill="1" applyBorder="1" applyProtection="1"/>
    <xf numFmtId="43" fontId="12" fillId="0" borderId="72" xfId="0" applyNumberFormat="1" applyFont="1" applyBorder="1" applyProtection="1"/>
    <xf numFmtId="0" fontId="14" fillId="3" borderId="81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2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3" xfId="0" applyNumberFormat="1" applyFont="1" applyBorder="1" applyProtection="1"/>
    <xf numFmtId="43" fontId="12" fillId="0" borderId="84" xfId="0" applyNumberFormat="1" applyFont="1" applyBorder="1" applyProtection="1"/>
    <xf numFmtId="0" fontId="12" fillId="0" borderId="85" xfId="0" applyFont="1" applyFill="1" applyBorder="1" applyProtection="1"/>
    <xf numFmtId="0" fontId="0" fillId="0" borderId="86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2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0" fillId="0" borderId="36" xfId="0" applyBorder="1" applyAlignment="1" applyProtection="1">
      <alignment wrapText="1"/>
      <protection locked="0"/>
    </xf>
    <xf numFmtId="2" fontId="12" fillId="0" borderId="46" xfId="0" applyNumberFormat="1" applyFont="1" applyBorder="1" applyProtection="1"/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4" xfId="0" applyFont="1" applyFill="1" applyBorder="1" applyAlignment="1" applyProtection="1">
      <alignment horizontal="center"/>
    </xf>
    <xf numFmtId="0" fontId="2" fillId="2" borderId="75" xfId="0" applyFont="1" applyFill="1" applyBorder="1" applyAlignment="1" applyProtection="1">
      <alignment horizontal="center"/>
    </xf>
    <xf numFmtId="0" fontId="2" fillId="2" borderId="76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2"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  <color rgb="FFCC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H27" sqref="H27"/>
    </sheetView>
  </sheetViews>
  <sheetFormatPr defaultColWidth="8.85546875" defaultRowHeight="12.75" x14ac:dyDescent="0.2"/>
  <cols>
    <col min="1" max="1" width="10.140625" style="2" bestFit="1" customWidth="1"/>
    <col min="2" max="2" width="4.5703125" style="230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90" t="s">
        <v>214</v>
      </c>
      <c r="D1" s="391">
        <v>2022</v>
      </c>
      <c r="G1" s="218"/>
    </row>
    <row r="3" spans="1:22" x14ac:dyDescent="0.2">
      <c r="A3" s="5"/>
    </row>
    <row r="4" spans="1:22" s="1" customFormat="1" x14ac:dyDescent="0.2">
      <c r="B4" s="231"/>
      <c r="C4" s="458" t="s">
        <v>1</v>
      </c>
      <c r="D4" s="459"/>
      <c r="E4" s="459"/>
      <c r="F4" s="459"/>
      <c r="G4" s="459"/>
      <c r="H4" s="459"/>
      <c r="I4" s="459"/>
      <c r="J4" s="459"/>
      <c r="K4" s="459"/>
      <c r="L4" s="459"/>
      <c r="M4" s="460"/>
      <c r="N4" s="6"/>
      <c r="O4" s="461" t="s">
        <v>2</v>
      </c>
      <c r="P4" s="462"/>
      <c r="Q4" s="462"/>
      <c r="R4" s="463"/>
      <c r="S4" s="7"/>
      <c r="T4" s="8" t="s">
        <v>3</v>
      </c>
    </row>
    <row r="5" spans="1:22" x14ac:dyDescent="0.2">
      <c r="B5" s="232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4" t="s">
        <v>7</v>
      </c>
      <c r="J5" s="154" t="s">
        <v>8</v>
      </c>
      <c r="K5" s="154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31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113</v>
      </c>
      <c r="H6" s="14" t="s">
        <v>103</v>
      </c>
      <c r="I6" s="155" t="s">
        <v>12</v>
      </c>
      <c r="J6" s="155" t="s">
        <v>12</v>
      </c>
      <c r="K6" s="155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3"/>
      <c r="C7" s="19"/>
      <c r="D7" s="20"/>
      <c r="E7" s="21"/>
      <c r="F7" s="21"/>
      <c r="G7" s="20"/>
      <c r="H7" s="20"/>
      <c r="I7" s="151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92">
        <v>44593</v>
      </c>
      <c r="B8" s="233" t="str">
        <f>TEXT(A8, "DDD")</f>
        <v>Tue</v>
      </c>
      <c r="C8" s="152">
        <f t="array" ref="C8:C38">TRANSPOSE(Pool!C33:AG33)</f>
        <v>90</v>
      </c>
      <c r="D8" s="58">
        <f>'Box Canon'!C20+'Box Canon'!C21</f>
        <v>0</v>
      </c>
      <c r="E8" s="21"/>
      <c r="F8" s="21"/>
      <c r="G8" s="151">
        <f t="array" ref="G8:G38">TRANSPOSE(Pool!C34:AG34)</f>
        <v>215</v>
      </c>
      <c r="H8" s="151">
        <f t="array" ref="H8:H38">TRANSPOSE(Pool!C35:AG35)</f>
        <v>0</v>
      </c>
      <c r="I8" s="151">
        <f>'Box Canon'!C22+'Box Canon'!C23</f>
        <v>0</v>
      </c>
      <c r="J8" s="149"/>
      <c r="K8" s="149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7">
        <f>SUM(A8+1)</f>
        <v>44594</v>
      </c>
      <c r="B9" s="233" t="str">
        <f t="shared" ref="B9:B38" si="0">TEXT(A9, "DDD")</f>
        <v>Wed</v>
      </c>
      <c r="C9" s="152">
        <v>359.25</v>
      </c>
      <c r="D9" s="58">
        <f>'Box Canon'!D20+'Box Canon'!D21</f>
        <v>0</v>
      </c>
      <c r="E9" s="21"/>
      <c r="F9" s="21"/>
      <c r="G9" s="151">
        <v>768.2</v>
      </c>
      <c r="H9" s="151">
        <v>0</v>
      </c>
      <c r="I9" s="151">
        <f>'Box Canon'!D22+'Box Canon'!D23</f>
        <v>0</v>
      </c>
      <c r="J9" s="149"/>
      <c r="K9" s="149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7">
        <f t="shared" ref="A10:A38" si="1">SUM(A9+1)</f>
        <v>44595</v>
      </c>
      <c r="B10" s="233" t="str">
        <f t="shared" si="0"/>
        <v>Thu</v>
      </c>
      <c r="C10" s="152">
        <v>478.3</v>
      </c>
      <c r="D10" s="58">
        <f>'Box Canon'!E20+'Box Canon'!E21</f>
        <v>0</v>
      </c>
      <c r="E10" s="21"/>
      <c r="F10" s="21"/>
      <c r="G10" s="151">
        <v>1844.1</v>
      </c>
      <c r="H10" s="151">
        <v>0</v>
      </c>
      <c r="I10" s="151">
        <f>'Box Canon'!E22+'Box Canon'!E23</f>
        <v>0</v>
      </c>
      <c r="J10" s="149"/>
      <c r="K10" s="149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7">
        <f t="shared" si="1"/>
        <v>44596</v>
      </c>
      <c r="B11" s="233" t="str">
        <f t="shared" si="0"/>
        <v>Fri</v>
      </c>
      <c r="C11" s="152">
        <v>421.65</v>
      </c>
      <c r="D11" s="58">
        <f>'Box Canon'!F20+'Box Canon'!F21</f>
        <v>0</v>
      </c>
      <c r="E11" s="21"/>
      <c r="F11" s="21"/>
      <c r="G11" s="151">
        <v>2543.3000000000002</v>
      </c>
      <c r="H11" s="153">
        <v>0</v>
      </c>
      <c r="I11" s="151">
        <f>'Box Canon'!F22+'Box Canon'!F23</f>
        <v>0</v>
      </c>
      <c r="J11" s="149"/>
      <c r="K11" s="149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7">
        <f t="shared" si="1"/>
        <v>44597</v>
      </c>
      <c r="B12" s="233" t="str">
        <f t="shared" si="0"/>
        <v>Sat</v>
      </c>
      <c r="C12" s="152">
        <v>1003.81</v>
      </c>
      <c r="D12" s="58">
        <f>'Box Canon'!G20+'Box Canon'!G21</f>
        <v>0</v>
      </c>
      <c r="E12" s="21"/>
      <c r="F12" s="21"/>
      <c r="G12" s="151">
        <v>4666.95</v>
      </c>
      <c r="H12" s="153">
        <v>0</v>
      </c>
      <c r="I12" s="151">
        <f>'Box Canon'!G22+'Box Canon'!G23</f>
        <v>0</v>
      </c>
      <c r="J12" s="149"/>
      <c r="K12" s="149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7">
        <f t="shared" si="1"/>
        <v>44598</v>
      </c>
      <c r="B13" s="233" t="str">
        <f t="shared" si="0"/>
        <v>Sun</v>
      </c>
      <c r="C13" s="152">
        <v>609.75</v>
      </c>
      <c r="D13" s="58">
        <f>'Box Canon'!H20+'Box Canon'!H21</f>
        <v>0</v>
      </c>
      <c r="E13" s="21"/>
      <c r="F13" s="21"/>
      <c r="G13" s="151">
        <v>2768.8</v>
      </c>
      <c r="H13" s="153">
        <v>0</v>
      </c>
      <c r="I13" s="151">
        <f>'Box Canon'!H22+'Box Canon'!H23</f>
        <v>0</v>
      </c>
      <c r="J13" s="149"/>
      <c r="K13" s="149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7">
        <f t="shared" si="1"/>
        <v>44599</v>
      </c>
      <c r="B14" s="233" t="str">
        <f t="shared" si="0"/>
        <v>Mon</v>
      </c>
      <c r="C14" s="152">
        <v>492.4</v>
      </c>
      <c r="D14" s="58">
        <f>'Box Canon'!I20+'Box Canon'!I21</f>
        <v>0</v>
      </c>
      <c r="E14" s="21"/>
      <c r="F14" s="21"/>
      <c r="G14" s="151">
        <v>1293.3</v>
      </c>
      <c r="H14" s="153">
        <v>0</v>
      </c>
      <c r="I14" s="151">
        <f>'Box Canon'!I22+'Box Canon'!I23</f>
        <v>0</v>
      </c>
      <c r="J14" s="149"/>
      <c r="K14" s="149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7">
        <f t="shared" si="1"/>
        <v>44600</v>
      </c>
      <c r="B15" s="233" t="str">
        <f t="shared" si="0"/>
        <v>Tue</v>
      </c>
      <c r="C15" s="152">
        <v>0</v>
      </c>
      <c r="D15" s="58">
        <f>'Box Canon'!J20+'Box Canon'!J21</f>
        <v>0</v>
      </c>
      <c r="E15" s="21"/>
      <c r="F15" s="21"/>
      <c r="G15" s="151">
        <v>390</v>
      </c>
      <c r="H15" s="153">
        <v>0</v>
      </c>
      <c r="I15" s="151">
        <f>'Box Canon'!J22+'Box Canon'!J23</f>
        <v>0</v>
      </c>
      <c r="J15" s="149"/>
      <c r="K15" s="149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7">
        <f t="shared" si="1"/>
        <v>44601</v>
      </c>
      <c r="B16" s="233" t="str">
        <f t="shared" si="0"/>
        <v>Wed</v>
      </c>
      <c r="C16" s="152">
        <v>310</v>
      </c>
      <c r="D16" s="58">
        <f>'Box Canon'!K20+'Box Canon'!K21</f>
        <v>0</v>
      </c>
      <c r="E16" s="21"/>
      <c r="F16" s="21"/>
      <c r="G16" s="151">
        <v>1527.15</v>
      </c>
      <c r="H16" s="153">
        <v>0</v>
      </c>
      <c r="I16" s="151">
        <f>'Box Canon'!K22+'Box Canon'!K23</f>
        <v>0</v>
      </c>
      <c r="J16" s="149"/>
      <c r="K16" s="149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7">
        <f t="shared" si="1"/>
        <v>44602</v>
      </c>
      <c r="B17" s="233" t="str">
        <f t="shared" si="0"/>
        <v>Thu</v>
      </c>
      <c r="C17" s="152">
        <v>561.75</v>
      </c>
      <c r="D17" s="58">
        <f>'Box Canon'!L20+'Box Canon'!L21</f>
        <v>0</v>
      </c>
      <c r="E17" s="21"/>
      <c r="F17" s="21"/>
      <c r="G17" s="151">
        <v>1540.98</v>
      </c>
      <c r="H17" s="153">
        <v>0</v>
      </c>
      <c r="I17" s="151">
        <f>'Box Canon'!L22+'Box Canon'!L23</f>
        <v>0</v>
      </c>
      <c r="J17" s="149"/>
      <c r="K17" s="149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7">
        <f t="shared" si="1"/>
        <v>44603</v>
      </c>
      <c r="B18" s="233" t="str">
        <f t="shared" si="0"/>
        <v>Fri</v>
      </c>
      <c r="C18" s="152">
        <v>437.49</v>
      </c>
      <c r="D18" s="58">
        <f>'Box Canon'!M20+'Box Canon'!M21</f>
        <v>0</v>
      </c>
      <c r="E18" s="21"/>
      <c r="F18" s="21"/>
      <c r="G18" s="151">
        <v>2941.01</v>
      </c>
      <c r="H18" s="153">
        <v>0</v>
      </c>
      <c r="I18" s="151">
        <f>'Box Canon'!M22+'Box Canon'!M23</f>
        <v>0</v>
      </c>
      <c r="J18" s="149"/>
      <c r="K18" s="150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7">
        <f t="shared" si="1"/>
        <v>44604</v>
      </c>
      <c r="B19" s="233" t="str">
        <f t="shared" si="0"/>
        <v>Sat</v>
      </c>
      <c r="C19" s="152">
        <v>1042.9100000000001</v>
      </c>
      <c r="D19" s="58">
        <f>'Box Canon'!N20+'Box Canon'!N21</f>
        <v>0</v>
      </c>
      <c r="E19" s="21"/>
      <c r="F19" s="21"/>
      <c r="G19" s="151">
        <v>5262.03</v>
      </c>
      <c r="H19" s="153">
        <v>0</v>
      </c>
      <c r="I19" s="151">
        <f>'Box Canon'!N22+'Box Canon'!N23</f>
        <v>0</v>
      </c>
      <c r="J19" s="149"/>
      <c r="K19" s="149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7">
        <f t="shared" si="1"/>
        <v>44605</v>
      </c>
      <c r="B20" s="233" t="str">
        <f t="shared" si="0"/>
        <v>Sun</v>
      </c>
      <c r="C20" s="152">
        <v>552.20000000000005</v>
      </c>
      <c r="D20" s="58">
        <f>'Box Canon'!O20+'Box Canon'!O21</f>
        <v>0</v>
      </c>
      <c r="E20" s="21"/>
      <c r="F20" s="21"/>
      <c r="G20" s="151">
        <v>2136.6</v>
      </c>
      <c r="H20" s="153">
        <v>0</v>
      </c>
      <c r="I20" s="151">
        <f>'Box Canon'!O22+'Box Canon'!O23</f>
        <v>0</v>
      </c>
      <c r="J20" s="149"/>
      <c r="K20" s="149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7">
        <f t="shared" si="1"/>
        <v>44606</v>
      </c>
      <c r="B21" s="233" t="str">
        <f t="shared" si="0"/>
        <v>Mon</v>
      </c>
      <c r="C21" s="152">
        <v>454.85</v>
      </c>
      <c r="D21" s="58">
        <f>'Box Canon'!P20+'Box Canon'!P21</f>
        <v>0</v>
      </c>
      <c r="E21" s="41"/>
      <c r="F21" s="21"/>
      <c r="G21" s="151">
        <v>1724.98</v>
      </c>
      <c r="H21" s="153">
        <v>0</v>
      </c>
      <c r="I21" s="151">
        <f>'Box Canon'!P22+'Box Canon'!P23</f>
        <v>0</v>
      </c>
      <c r="J21" s="149"/>
      <c r="K21" s="149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7">
        <f t="shared" si="1"/>
        <v>44607</v>
      </c>
      <c r="B22" s="233" t="str">
        <f t="shared" si="0"/>
        <v>Tue</v>
      </c>
      <c r="C22" s="152">
        <v>0</v>
      </c>
      <c r="D22" s="58">
        <f>'Box Canon'!Q20+'Box Canon'!Q21</f>
        <v>0</v>
      </c>
      <c r="E22" s="21"/>
      <c r="F22" s="21"/>
      <c r="G22" s="151">
        <v>0</v>
      </c>
      <c r="H22" s="153">
        <v>0</v>
      </c>
      <c r="I22" s="151">
        <f>'Box Canon'!Q22+'Box Canon'!Q23</f>
        <v>0</v>
      </c>
      <c r="J22" s="149"/>
      <c r="K22" s="149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7">
        <f t="shared" si="1"/>
        <v>44608</v>
      </c>
      <c r="B23" s="233" t="str">
        <f t="shared" si="0"/>
        <v>Wed</v>
      </c>
      <c r="C23" s="152">
        <v>411.16</v>
      </c>
      <c r="D23" s="58">
        <f>'Box Canon'!R20+'Box Canon'!R21</f>
        <v>0</v>
      </c>
      <c r="E23" s="21"/>
      <c r="F23" s="21"/>
      <c r="G23" s="151">
        <v>1565.04</v>
      </c>
      <c r="H23" s="153">
        <v>0</v>
      </c>
      <c r="I23" s="151">
        <f>'Box Canon'!R22+'Box Canon'!R23</f>
        <v>0</v>
      </c>
      <c r="J23" s="149"/>
      <c r="K23" s="149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7">
        <f t="shared" si="1"/>
        <v>44609</v>
      </c>
      <c r="B24" s="233" t="str">
        <f t="shared" si="0"/>
        <v>Thu</v>
      </c>
      <c r="C24" s="152">
        <v>487.28</v>
      </c>
      <c r="D24" s="58">
        <f>'Box Canon'!S20+'Box Canon'!S21</f>
        <v>0</v>
      </c>
      <c r="E24" s="21"/>
      <c r="F24" s="21"/>
      <c r="G24" s="151">
        <v>653.08000000000004</v>
      </c>
      <c r="H24" s="153">
        <v>0</v>
      </c>
      <c r="I24" s="151">
        <f>'Box Canon'!S22+'Box Canon'!S23</f>
        <v>0</v>
      </c>
      <c r="J24" s="149"/>
      <c r="K24" s="149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7">
        <f t="shared" si="1"/>
        <v>44610</v>
      </c>
      <c r="B25" s="233" t="str">
        <f t="shared" si="0"/>
        <v>Fri</v>
      </c>
      <c r="C25" s="152">
        <v>490</v>
      </c>
      <c r="D25" s="58">
        <f>'Box Canon'!T20+'Box Canon'!T21</f>
        <v>0</v>
      </c>
      <c r="E25" s="21"/>
      <c r="F25" s="21"/>
      <c r="G25" s="151">
        <v>2815.68</v>
      </c>
      <c r="H25" s="153">
        <v>0</v>
      </c>
      <c r="I25" s="151">
        <f>'Box Canon'!T22+'Box Canon'!T23</f>
        <v>0</v>
      </c>
      <c r="J25" s="149"/>
      <c r="K25" s="149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7">
        <f t="shared" si="1"/>
        <v>44611</v>
      </c>
      <c r="B26" s="233" t="str">
        <f t="shared" si="0"/>
        <v>Sat</v>
      </c>
      <c r="C26" s="152">
        <v>2295.7800000000002</v>
      </c>
      <c r="D26" s="58">
        <f>'Box Canon'!U20+'Box Canon'!U21</f>
        <v>0</v>
      </c>
      <c r="E26" s="21"/>
      <c r="F26" s="21"/>
      <c r="G26" s="151">
        <v>10258.629999999999</v>
      </c>
      <c r="H26" s="153">
        <v>0</v>
      </c>
      <c r="I26" s="151">
        <f>'Box Canon'!U22+'Box Canon'!U23</f>
        <v>0</v>
      </c>
      <c r="J26" s="149"/>
      <c r="K26" s="149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7">
        <f t="shared" si="1"/>
        <v>44612</v>
      </c>
      <c r="B27" s="233" t="str">
        <f t="shared" si="0"/>
        <v>Sun</v>
      </c>
      <c r="C27" s="152">
        <v>1184.97</v>
      </c>
      <c r="D27" s="58">
        <f>'Box Canon'!V20+'Box Canon'!V21</f>
        <v>0</v>
      </c>
      <c r="E27" s="21"/>
      <c r="F27" s="21"/>
      <c r="G27" s="151">
        <v>7816.78</v>
      </c>
      <c r="H27" s="153">
        <v>0</v>
      </c>
      <c r="I27" s="151">
        <f>'Box Canon'!V22+'Box Canon'!V23</f>
        <v>0</v>
      </c>
      <c r="J27" s="149"/>
      <c r="K27" s="149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7">
        <f t="shared" si="1"/>
        <v>44613</v>
      </c>
      <c r="B28" s="233" t="str">
        <f t="shared" si="0"/>
        <v>Mon</v>
      </c>
      <c r="C28" s="152">
        <v>413</v>
      </c>
      <c r="D28" s="58">
        <f>'Box Canon'!W20+'Box Canon'!W21</f>
        <v>0</v>
      </c>
      <c r="E28" s="21"/>
      <c r="F28" s="21"/>
      <c r="G28" s="151">
        <v>2555.5500000000002</v>
      </c>
      <c r="H28" s="153">
        <v>0</v>
      </c>
      <c r="I28" s="151">
        <f>'Box Canon'!W22+'Box Canon'!W23</f>
        <v>0</v>
      </c>
      <c r="J28" s="149"/>
      <c r="K28" s="149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7">
        <f t="shared" si="1"/>
        <v>44614</v>
      </c>
      <c r="B29" s="233" t="str">
        <f t="shared" si="0"/>
        <v>Tue</v>
      </c>
      <c r="C29" s="152">
        <v>0</v>
      </c>
      <c r="D29" s="58">
        <f>'Box Canon'!X20+'Box Canon'!X21</f>
        <v>0</v>
      </c>
      <c r="E29" s="21"/>
      <c r="F29" s="21"/>
      <c r="G29" s="151">
        <v>0</v>
      </c>
      <c r="H29" s="153">
        <v>0</v>
      </c>
      <c r="I29" s="151">
        <f>'Box Canon'!X22+'Box Canon'!X23</f>
        <v>0</v>
      </c>
      <c r="J29" s="149"/>
      <c r="K29" s="149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7">
        <f t="shared" si="1"/>
        <v>44615</v>
      </c>
      <c r="B30" s="233" t="str">
        <f t="shared" si="0"/>
        <v>Wed</v>
      </c>
      <c r="C30" s="152">
        <v>172.67</v>
      </c>
      <c r="D30" s="58">
        <f>'Box Canon'!Y20+'Box Canon'!Y21</f>
        <v>0</v>
      </c>
      <c r="E30" s="21"/>
      <c r="F30" s="21"/>
      <c r="G30" s="151">
        <v>791.1</v>
      </c>
      <c r="H30" s="153">
        <v>0</v>
      </c>
      <c r="I30" s="151">
        <f>'Box Canon'!Y22+'Box Canon'!Y23</f>
        <v>0</v>
      </c>
      <c r="J30" s="149"/>
      <c r="K30" s="149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7">
        <f t="shared" si="1"/>
        <v>44616</v>
      </c>
      <c r="B31" s="233" t="str">
        <f t="shared" si="0"/>
        <v>Thu</v>
      </c>
      <c r="C31" s="152">
        <v>269.61</v>
      </c>
      <c r="D31" s="58">
        <f>'Box Canon'!Z20+'Box Canon'!Z21</f>
        <v>0</v>
      </c>
      <c r="E31" s="21"/>
      <c r="F31" s="21"/>
      <c r="G31" s="151">
        <v>1675.08</v>
      </c>
      <c r="H31" s="153">
        <v>0</v>
      </c>
      <c r="I31" s="151">
        <f>'Box Canon'!Z22+'Box Canon'!Z23</f>
        <v>0</v>
      </c>
      <c r="J31" s="149"/>
      <c r="K31" s="149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7">
        <f t="shared" si="1"/>
        <v>44617</v>
      </c>
      <c r="B32" s="233" t="str">
        <f t="shared" si="0"/>
        <v>Fri</v>
      </c>
      <c r="C32" s="152">
        <v>496.24</v>
      </c>
      <c r="D32" s="58">
        <f>'Box Canon'!AA20+'Box Canon'!AA21</f>
        <v>0</v>
      </c>
      <c r="E32" s="21"/>
      <c r="F32" s="21"/>
      <c r="G32" s="151">
        <v>3056.68</v>
      </c>
      <c r="H32" s="153">
        <v>0</v>
      </c>
      <c r="I32" s="151">
        <f>'Box Canon'!AA22+'Box Canon'!AA23</f>
        <v>0</v>
      </c>
      <c r="J32" s="149"/>
      <c r="K32" s="149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7">
        <f t="shared" si="1"/>
        <v>44618</v>
      </c>
      <c r="B33" s="233" t="str">
        <f t="shared" si="0"/>
        <v>Sat</v>
      </c>
      <c r="C33" s="152">
        <v>1149.1400000000001</v>
      </c>
      <c r="D33" s="58">
        <f>'Box Canon'!AB20+'Box Canon'!AB21</f>
        <v>0</v>
      </c>
      <c r="E33" s="21"/>
      <c r="F33" s="21"/>
      <c r="G33" s="151">
        <v>5166.6899999999996</v>
      </c>
      <c r="H33" s="153">
        <v>0</v>
      </c>
      <c r="I33" s="151">
        <f>'Box Canon'!AB22+'Box Canon'!AB23</f>
        <v>0</v>
      </c>
      <c r="J33" s="149"/>
      <c r="K33" s="149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7">
        <f t="shared" si="1"/>
        <v>44619</v>
      </c>
      <c r="B34" s="233" t="str">
        <f t="shared" si="0"/>
        <v>Sun</v>
      </c>
      <c r="C34" s="152">
        <v>452.05</v>
      </c>
      <c r="D34" s="58">
        <f>'Box Canon'!AC20+'Box Canon'!AC21</f>
        <v>0</v>
      </c>
      <c r="E34" s="21"/>
      <c r="F34" s="21"/>
      <c r="G34" s="151">
        <v>3360.76</v>
      </c>
      <c r="H34" s="153">
        <v>0</v>
      </c>
      <c r="I34" s="151">
        <f>'Box Canon'!AC22+'Box Canon'!AC23</f>
        <v>0</v>
      </c>
      <c r="J34" s="149"/>
      <c r="K34" s="149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7">
        <f t="shared" si="1"/>
        <v>44620</v>
      </c>
      <c r="B35" s="233" t="str">
        <f t="shared" si="0"/>
        <v>Mon</v>
      </c>
      <c r="C35" s="152">
        <v>275.8</v>
      </c>
      <c r="D35" s="58">
        <f>'Box Canon'!AD20+'Box Canon'!AD21</f>
        <v>0</v>
      </c>
      <c r="E35" s="21"/>
      <c r="F35" s="21"/>
      <c r="G35" s="151">
        <v>1505.67</v>
      </c>
      <c r="H35" s="153">
        <v>0</v>
      </c>
      <c r="I35" s="151">
        <f>'Box Canon'!AD22+'Box Canon'!AD23</f>
        <v>0</v>
      </c>
      <c r="J35" s="149"/>
      <c r="K35" s="149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hidden="1" x14ac:dyDescent="0.2">
      <c r="A36" s="217">
        <f t="shared" si="1"/>
        <v>44621</v>
      </c>
      <c r="B36" s="233" t="str">
        <f t="shared" si="0"/>
        <v>Tue</v>
      </c>
      <c r="C36" s="152">
        <v>0</v>
      </c>
      <c r="D36" s="58">
        <f>'Box Canon'!AE20+'Box Canon'!AE21</f>
        <v>0</v>
      </c>
      <c r="E36" s="42"/>
      <c r="F36" s="21"/>
      <c r="G36" s="151">
        <v>0</v>
      </c>
      <c r="H36" s="153">
        <v>0</v>
      </c>
      <c r="I36" s="151">
        <f>'Box Canon'!AE22+'Box Canon'!AE23</f>
        <v>0</v>
      </c>
      <c r="J36" s="149"/>
      <c r="K36" s="149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hidden="1" x14ac:dyDescent="0.2">
      <c r="A37" s="217">
        <f t="shared" si="1"/>
        <v>44622</v>
      </c>
      <c r="B37" s="233" t="str">
        <f t="shared" si="0"/>
        <v>Wed</v>
      </c>
      <c r="C37" s="152">
        <v>0</v>
      </c>
      <c r="D37" s="58">
        <f>'Box Canon'!AF20+'Box Canon'!AF21</f>
        <v>0</v>
      </c>
      <c r="E37" s="21"/>
      <c r="F37" s="21"/>
      <c r="G37" s="151">
        <v>0</v>
      </c>
      <c r="H37" s="153">
        <v>0</v>
      </c>
      <c r="I37" s="151">
        <f>'Box Canon'!AF22+'Box Canon'!AF23</f>
        <v>0</v>
      </c>
      <c r="J37" s="149"/>
      <c r="K37" s="149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hidden="1" x14ac:dyDescent="0.2">
      <c r="A38" s="217">
        <f t="shared" si="1"/>
        <v>44623</v>
      </c>
      <c r="B38" s="233" t="str">
        <f t="shared" si="0"/>
        <v>Thu</v>
      </c>
      <c r="C38" s="152">
        <v>0</v>
      </c>
      <c r="D38" s="58">
        <f>'Box Canon'!AG20+'Box Canon'!AG21</f>
        <v>0</v>
      </c>
      <c r="E38" s="21"/>
      <c r="F38" s="21"/>
      <c r="G38" s="151">
        <v>0</v>
      </c>
      <c r="H38" s="153">
        <v>0</v>
      </c>
      <c r="I38" s="151">
        <f>'Box Canon'!AG22+'Box Canon'!AG23</f>
        <v>0</v>
      </c>
      <c r="J38" s="149"/>
      <c r="K38" s="149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4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5"/>
      <c r="C40" s="171">
        <f>SUM(C8:C39)</f>
        <v>14912.059999999998</v>
      </c>
      <c r="D40" s="171">
        <f t="shared" ref="D40:M40" si="2">SUM(D8:D39)</f>
        <v>0</v>
      </c>
      <c r="E40" s="172">
        <f t="shared" si="2"/>
        <v>0</v>
      </c>
      <c r="F40" s="172">
        <f t="shared" si="2"/>
        <v>0</v>
      </c>
      <c r="G40" s="171">
        <f>SUM(G8:G38)</f>
        <v>70843.139999999985</v>
      </c>
      <c r="H40" s="171">
        <f>SUM(H8:H38)</f>
        <v>0</v>
      </c>
      <c r="I40" s="171">
        <f>SUM(I8:I38)</f>
        <v>0</v>
      </c>
      <c r="J40" s="171">
        <f t="shared" si="2"/>
        <v>0</v>
      </c>
      <c r="K40" s="171">
        <f t="shared" si="2"/>
        <v>0</v>
      </c>
      <c r="L40" s="172">
        <f t="shared" si="2"/>
        <v>0</v>
      </c>
      <c r="M40" s="172">
        <f t="shared" si="2"/>
        <v>0</v>
      </c>
      <c r="N40" s="173"/>
      <c r="O40" s="174">
        <f>SUM(O8:O39)</f>
        <v>0</v>
      </c>
      <c r="P40" s="174">
        <f>SUM(P8:P39)</f>
        <v>0</v>
      </c>
      <c r="Q40" s="174">
        <f>SUM(Q8:Q39)</f>
        <v>0</v>
      </c>
      <c r="R40" s="174">
        <f>SUM(R8:R39)</f>
        <v>0</v>
      </c>
      <c r="S40" s="175"/>
      <c r="T40" s="176">
        <f>SUM(C40:R40)-M40-P40+T7</f>
        <v>85755.199999999983</v>
      </c>
      <c r="U40" s="18"/>
      <c r="V40" s="18"/>
    </row>
    <row r="41" spans="1:22" ht="13.5" thickTop="1" x14ac:dyDescent="0.2">
      <c r="B41" s="235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5"/>
      <c r="M42" s="177">
        <f>C40+D40+J40+K40+M40</f>
        <v>14912.059999999998</v>
      </c>
      <c r="N42" s="173"/>
      <c r="O42" s="178">
        <f>+O40-P40</f>
        <v>0</v>
      </c>
      <c r="P42" s="177"/>
      <c r="Q42" s="178">
        <f>+P40+Q40</f>
        <v>0</v>
      </c>
      <c r="R42" s="177">
        <f>O40+Q40+R40</f>
        <v>0</v>
      </c>
      <c r="S42" s="23"/>
      <c r="T42" s="18"/>
      <c r="U42" s="18"/>
      <c r="V42" s="18"/>
    </row>
    <row r="43" spans="1:22" x14ac:dyDescent="0.2">
      <c r="A43" s="49"/>
      <c r="B43" s="235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5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5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5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5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5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5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5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5"/>
      <c r="C51" s="55"/>
      <c r="N51" s="23"/>
      <c r="O51" s="18"/>
      <c r="P51" s="18"/>
      <c r="Q51" s="18"/>
      <c r="U51" s="18"/>
      <c r="V51" s="18"/>
    </row>
    <row r="52" spans="1:22" x14ac:dyDescent="0.2">
      <c r="B52" s="235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5"/>
      <c r="C53" s="55"/>
      <c r="N53" s="23"/>
      <c r="O53" s="18"/>
      <c r="P53" s="18"/>
      <c r="Q53" s="18"/>
      <c r="U53" s="18"/>
      <c r="V53" s="18"/>
    </row>
    <row r="54" spans="1:22" x14ac:dyDescent="0.2">
      <c r="B54" s="235"/>
      <c r="C54" s="55"/>
      <c r="N54" s="23"/>
      <c r="O54" s="18"/>
      <c r="P54" s="18"/>
      <c r="Q54" s="18"/>
      <c r="U54" s="18"/>
      <c r="V54" s="18"/>
    </row>
    <row r="55" spans="1:22" x14ac:dyDescent="0.2">
      <c r="B55" s="235"/>
      <c r="N55" s="23"/>
      <c r="O55" s="18"/>
      <c r="P55" s="18"/>
      <c r="Q55" s="18"/>
      <c r="U55" s="18"/>
      <c r="V55" s="18"/>
    </row>
    <row r="56" spans="1:22" x14ac:dyDescent="0.2">
      <c r="B56" s="235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5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5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5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5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5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5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5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5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5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5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5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5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5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5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5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5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5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5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5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5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5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5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5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5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5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5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5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5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5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5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5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5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5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5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5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5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5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5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5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5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5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5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5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5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5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60"/>
  <sheetViews>
    <sheetView workbookViewId="0">
      <pane xSplit="2" ySplit="2" topLeftCell="AI21" activePane="bottomRight" state="frozen"/>
      <selection pane="topRight" activeCell="C1" sqref="C1"/>
      <selection pane="bottomLeft" activeCell="A3" sqref="A3"/>
      <selection pane="bottomRight" activeCell="AM35" sqref="AM35"/>
    </sheetView>
  </sheetViews>
  <sheetFormatPr defaultRowHeight="15.75" x14ac:dyDescent="0.25"/>
  <cols>
    <col min="1" max="1" width="10.42578125" style="59" bestFit="1" customWidth="1"/>
    <col min="2" max="2" width="33.85546875" style="60" bestFit="1" customWidth="1"/>
    <col min="3" max="30" width="10" style="60" customWidth="1"/>
    <col min="31" max="33" width="10" style="60" hidden="1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70" t="s">
        <v>126</v>
      </c>
      <c r="B1" s="384" t="str">
        <f>'Cash Flow'!C1</f>
        <v>February</v>
      </c>
      <c r="C1" s="229" t="str">
        <f t="array" ref="C1:AG1">TRANSPOSE('Cash Flow'!B8:B38)</f>
        <v>Tue</v>
      </c>
      <c r="D1" s="229" t="str">
        <v>Wed</v>
      </c>
      <c r="E1" s="229" t="str">
        <v>Thu</v>
      </c>
      <c r="F1" s="229" t="str">
        <v>Fri</v>
      </c>
      <c r="G1" s="229" t="str">
        <v>Sat</v>
      </c>
      <c r="H1" s="229" t="str">
        <v>Sun</v>
      </c>
      <c r="I1" s="229" t="str">
        <v>Mon</v>
      </c>
      <c r="J1" s="229" t="str">
        <v>Tue</v>
      </c>
      <c r="K1" s="229" t="str">
        <v>Wed</v>
      </c>
      <c r="L1" s="229" t="str">
        <v>Thu</v>
      </c>
      <c r="M1" s="229" t="str">
        <v>Fri</v>
      </c>
      <c r="N1" s="229" t="str">
        <v>Sat</v>
      </c>
      <c r="O1" s="229" t="str">
        <v>Sun</v>
      </c>
      <c r="P1" s="229" t="str">
        <v>Mon</v>
      </c>
      <c r="Q1" s="229" t="str">
        <v>Tue</v>
      </c>
      <c r="R1" s="229" t="str">
        <v>Wed</v>
      </c>
      <c r="S1" s="229" t="str">
        <v>Thu</v>
      </c>
      <c r="T1" s="229" t="str">
        <v>Fri</v>
      </c>
      <c r="U1" s="229" t="str">
        <v>Sat</v>
      </c>
      <c r="V1" s="229" t="str">
        <v>Sun</v>
      </c>
      <c r="W1" s="229" t="str">
        <v>Mon</v>
      </c>
      <c r="X1" s="229" t="str">
        <v>Tue</v>
      </c>
      <c r="Y1" s="229" t="str">
        <v>Wed</v>
      </c>
      <c r="Z1" s="229" t="str">
        <v>Thu</v>
      </c>
      <c r="AA1" s="229" t="str">
        <v>Fri</v>
      </c>
      <c r="AB1" s="229" t="str">
        <v>Sat</v>
      </c>
      <c r="AC1" s="229" t="str">
        <v>Sun</v>
      </c>
      <c r="AD1" s="229" t="str">
        <v>Mon</v>
      </c>
      <c r="AE1" s="229" t="str">
        <v>Tue</v>
      </c>
      <c r="AF1" s="229" t="str">
        <v>Wed</v>
      </c>
      <c r="AG1" s="229" t="str">
        <v>Thu</v>
      </c>
    </row>
    <row r="2" spans="1:39" s="60" customFormat="1" ht="16.5" thickBot="1" x14ac:dyDescent="0.3">
      <c r="A2" s="63" t="s">
        <v>67</v>
      </c>
      <c r="B2" s="64" t="s">
        <v>135</v>
      </c>
      <c r="C2" s="106">
        <f>'Cash Flow'!A8</f>
        <v>44593</v>
      </c>
      <c r="D2" s="106">
        <f>C2+1</f>
        <v>44594</v>
      </c>
      <c r="E2" s="106">
        <f>D2+1</f>
        <v>44595</v>
      </c>
      <c r="F2" s="106">
        <f t="shared" ref="F2:AG2" si="0">E2+1</f>
        <v>44596</v>
      </c>
      <c r="G2" s="106">
        <f t="shared" si="0"/>
        <v>44597</v>
      </c>
      <c r="H2" s="106">
        <f t="shared" si="0"/>
        <v>44598</v>
      </c>
      <c r="I2" s="106">
        <f t="shared" si="0"/>
        <v>44599</v>
      </c>
      <c r="J2" s="106">
        <f t="shared" si="0"/>
        <v>44600</v>
      </c>
      <c r="K2" s="106">
        <f t="shared" si="0"/>
        <v>44601</v>
      </c>
      <c r="L2" s="106">
        <f t="shared" si="0"/>
        <v>44602</v>
      </c>
      <c r="M2" s="106">
        <f t="shared" si="0"/>
        <v>44603</v>
      </c>
      <c r="N2" s="106">
        <f t="shared" si="0"/>
        <v>44604</v>
      </c>
      <c r="O2" s="106">
        <f t="shared" si="0"/>
        <v>44605</v>
      </c>
      <c r="P2" s="106">
        <f t="shared" si="0"/>
        <v>44606</v>
      </c>
      <c r="Q2" s="106">
        <f t="shared" si="0"/>
        <v>44607</v>
      </c>
      <c r="R2" s="106">
        <f t="shared" si="0"/>
        <v>44608</v>
      </c>
      <c r="S2" s="106">
        <f t="shared" si="0"/>
        <v>44609</v>
      </c>
      <c r="T2" s="106">
        <f t="shared" si="0"/>
        <v>44610</v>
      </c>
      <c r="U2" s="106">
        <f t="shared" si="0"/>
        <v>44611</v>
      </c>
      <c r="V2" s="106">
        <f t="shared" si="0"/>
        <v>44612</v>
      </c>
      <c r="W2" s="106">
        <f t="shared" si="0"/>
        <v>44613</v>
      </c>
      <c r="X2" s="106">
        <f t="shared" si="0"/>
        <v>44614</v>
      </c>
      <c r="Y2" s="106">
        <f t="shared" si="0"/>
        <v>44615</v>
      </c>
      <c r="Z2" s="106">
        <f t="shared" si="0"/>
        <v>44616</v>
      </c>
      <c r="AA2" s="106">
        <f t="shared" si="0"/>
        <v>44617</v>
      </c>
      <c r="AB2" s="106">
        <f t="shared" si="0"/>
        <v>44618</v>
      </c>
      <c r="AC2" s="106">
        <f t="shared" si="0"/>
        <v>44619</v>
      </c>
      <c r="AD2" s="106">
        <f t="shared" si="0"/>
        <v>44620</v>
      </c>
      <c r="AE2" s="106">
        <f t="shared" si="0"/>
        <v>44621</v>
      </c>
      <c r="AF2" s="106">
        <f t="shared" si="0"/>
        <v>44622</v>
      </c>
      <c r="AG2" s="106">
        <f t="shared" si="0"/>
        <v>44623</v>
      </c>
      <c r="AH2" s="65" t="s">
        <v>59</v>
      </c>
      <c r="AI2" s="62"/>
      <c r="AJ2" s="63" t="s">
        <v>67</v>
      </c>
      <c r="AK2" s="64" t="s">
        <v>135</v>
      </c>
    </row>
    <row r="3" spans="1:39" x14ac:dyDescent="0.25">
      <c r="A3" s="66" t="s">
        <v>61</v>
      </c>
      <c r="B3" s="67" t="s">
        <v>62</v>
      </c>
      <c r="C3" s="68"/>
      <c r="D3" s="185">
        <v>3.82</v>
      </c>
      <c r="E3" s="185">
        <v>11.14</v>
      </c>
      <c r="F3" s="185">
        <v>18.02</v>
      </c>
      <c r="G3" s="185">
        <v>38.119999999999997</v>
      </c>
      <c r="H3" s="185">
        <v>13.3</v>
      </c>
      <c r="I3" s="185">
        <v>11.22</v>
      </c>
      <c r="J3" s="185"/>
      <c r="K3" s="185">
        <v>14.67</v>
      </c>
      <c r="L3" s="185">
        <v>10.95</v>
      </c>
      <c r="M3" s="185">
        <v>17.52</v>
      </c>
      <c r="N3" s="185">
        <v>32.9</v>
      </c>
      <c r="O3" s="185">
        <v>27.3</v>
      </c>
      <c r="P3" s="185">
        <v>13.33</v>
      </c>
      <c r="Q3" s="185"/>
      <c r="R3" s="185">
        <v>8.17</v>
      </c>
      <c r="S3" s="185">
        <v>11.05</v>
      </c>
      <c r="T3" s="185">
        <v>17.72</v>
      </c>
      <c r="U3" s="185">
        <v>29.99</v>
      </c>
      <c r="V3" s="185">
        <v>22.68</v>
      </c>
      <c r="W3" s="185">
        <v>16.12</v>
      </c>
      <c r="X3" s="185"/>
      <c r="Y3" s="185">
        <v>8.86</v>
      </c>
      <c r="Z3" s="185">
        <v>4.74</v>
      </c>
      <c r="AA3" s="185">
        <v>12.49</v>
      </c>
      <c r="AB3" s="185">
        <v>47.9</v>
      </c>
      <c r="AC3" s="185">
        <v>25.84</v>
      </c>
      <c r="AD3" s="185">
        <v>12.49</v>
      </c>
      <c r="AE3" s="185"/>
      <c r="AF3" s="185"/>
      <c r="AG3" s="185"/>
      <c r="AH3" s="108">
        <f>SUM(C3:AG3)</f>
        <v>430.34000000000003</v>
      </c>
      <c r="AJ3" s="66" t="s">
        <v>61</v>
      </c>
      <c r="AK3" s="67" t="s">
        <v>62</v>
      </c>
      <c r="AL3" s="211"/>
      <c r="AM3" s="211"/>
    </row>
    <row r="4" spans="1:39" x14ac:dyDescent="0.25">
      <c r="A4" s="69" t="s">
        <v>30</v>
      </c>
      <c r="B4" s="70" t="s">
        <v>31</v>
      </c>
      <c r="C4" s="71"/>
      <c r="D4" s="72">
        <v>577.6</v>
      </c>
      <c r="E4" s="71">
        <v>1218.4000000000001</v>
      </c>
      <c r="F4" s="71">
        <v>2245.6</v>
      </c>
      <c r="G4" s="71">
        <v>4758.8</v>
      </c>
      <c r="H4" s="71">
        <v>2520</v>
      </c>
      <c r="I4" s="71">
        <v>1308.8</v>
      </c>
      <c r="J4" s="71"/>
      <c r="K4" s="71">
        <v>1001.6</v>
      </c>
      <c r="L4" s="71">
        <v>1212</v>
      </c>
      <c r="M4" s="71">
        <v>2304.4</v>
      </c>
      <c r="N4" s="71">
        <v>4832</v>
      </c>
      <c r="O4" s="71">
        <v>2374.4</v>
      </c>
      <c r="P4" s="71">
        <v>1307.2</v>
      </c>
      <c r="Q4" s="71"/>
      <c r="R4" s="71">
        <v>1648</v>
      </c>
      <c r="S4" s="71">
        <v>1014.4</v>
      </c>
      <c r="T4" s="71">
        <v>2408</v>
      </c>
      <c r="U4" s="71">
        <v>10275.6</v>
      </c>
      <c r="V4" s="71">
        <v>7449.6</v>
      </c>
      <c r="W4" s="71">
        <v>2479.1999999999998</v>
      </c>
      <c r="X4" s="71"/>
      <c r="Y4" s="71">
        <v>866.2</v>
      </c>
      <c r="Z4" s="71">
        <v>956</v>
      </c>
      <c r="AA4" s="71">
        <v>2827.6</v>
      </c>
      <c r="AB4" s="71">
        <v>5553.6</v>
      </c>
      <c r="AC4" s="71">
        <v>3396.8</v>
      </c>
      <c r="AD4" s="71">
        <v>1048</v>
      </c>
      <c r="AE4" s="71"/>
      <c r="AF4" s="71"/>
      <c r="AG4" s="71"/>
      <c r="AH4" s="108">
        <f t="shared" ref="AH4:AH28" si="1">SUM(C4:AG4)</f>
        <v>65583.799999999988</v>
      </c>
      <c r="AJ4" s="69" t="s">
        <v>30</v>
      </c>
      <c r="AK4" s="70" t="s">
        <v>31</v>
      </c>
      <c r="AL4" s="211"/>
      <c r="AM4" s="211"/>
    </row>
    <row r="5" spans="1:39" x14ac:dyDescent="0.25">
      <c r="A5" s="69"/>
      <c r="B5" s="385" t="s">
        <v>180</v>
      </c>
      <c r="C5" s="71"/>
      <c r="D5" s="72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108">
        <f>SUM(C5:AG5)</f>
        <v>0</v>
      </c>
      <c r="AJ5" s="69"/>
      <c r="AK5" s="70"/>
      <c r="AL5" s="211"/>
      <c r="AM5" s="211"/>
    </row>
    <row r="6" spans="1:39" x14ac:dyDescent="0.25">
      <c r="A6" s="69" t="s">
        <v>183</v>
      </c>
      <c r="B6" s="70" t="s">
        <v>207</v>
      </c>
      <c r="C6" s="71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108">
        <f t="shared" si="1"/>
        <v>0</v>
      </c>
      <c r="AJ6" s="69" t="s">
        <v>183</v>
      </c>
      <c r="AK6" s="70" t="s">
        <v>63</v>
      </c>
      <c r="AM6" s="211"/>
    </row>
    <row r="7" spans="1:39" x14ac:dyDescent="0.25">
      <c r="A7" s="376" t="s">
        <v>157</v>
      </c>
      <c r="B7" s="377" t="s">
        <v>158</v>
      </c>
      <c r="C7" s="378"/>
      <c r="D7" s="379"/>
      <c r="E7" s="379"/>
      <c r="F7" s="379"/>
      <c r="G7" s="379"/>
      <c r="H7" s="379"/>
      <c r="I7" s="379"/>
      <c r="J7" s="379"/>
      <c r="K7" s="379"/>
      <c r="L7" s="379"/>
      <c r="M7" s="379"/>
      <c r="N7" s="379"/>
      <c r="O7" s="379"/>
      <c r="P7" s="379"/>
      <c r="Q7" s="379"/>
      <c r="R7" s="379"/>
      <c r="S7" s="379"/>
      <c r="T7" s="379"/>
      <c r="U7" s="379"/>
      <c r="V7" s="379"/>
      <c r="W7" s="379"/>
      <c r="X7" s="379"/>
      <c r="Y7" s="379"/>
      <c r="Z7" s="379"/>
      <c r="AA7" s="379"/>
      <c r="AB7" s="379"/>
      <c r="AC7" s="379"/>
      <c r="AD7" s="379"/>
      <c r="AE7" s="379"/>
      <c r="AF7" s="379"/>
      <c r="AG7" s="379"/>
      <c r="AH7" s="380">
        <f>SUM(C7:AG7)</f>
        <v>0</v>
      </c>
      <c r="AI7" s="381"/>
      <c r="AJ7" s="376" t="s">
        <v>157</v>
      </c>
      <c r="AK7" s="377" t="s">
        <v>158</v>
      </c>
      <c r="AM7" s="211"/>
    </row>
    <row r="8" spans="1:39" x14ac:dyDescent="0.25">
      <c r="A8" s="376" t="s">
        <v>159</v>
      </c>
      <c r="B8" s="377" t="s">
        <v>202</v>
      </c>
      <c r="C8" s="378">
        <v>215</v>
      </c>
      <c r="D8" s="379">
        <f>192.5+240</f>
        <v>432.5</v>
      </c>
      <c r="E8" s="379">
        <f>527.5+240</f>
        <v>767.5</v>
      </c>
      <c r="F8" s="379">
        <f>312.5+120</f>
        <v>432.5</v>
      </c>
      <c r="G8" s="379">
        <v>568</v>
      </c>
      <c r="H8" s="379">
        <v>704</v>
      </c>
      <c r="I8" s="379"/>
      <c r="J8" s="379">
        <v>302.5</v>
      </c>
      <c r="K8" s="379">
        <v>480</v>
      </c>
      <c r="L8" s="379">
        <f>282.5+224</f>
        <v>506.5</v>
      </c>
      <c r="M8" s="379">
        <f>149+120+600</f>
        <v>869</v>
      </c>
      <c r="N8" s="379">
        <f>165+928</f>
        <v>1093</v>
      </c>
      <c r="O8" s="379"/>
      <c r="P8" s="379">
        <v>240</v>
      </c>
      <c r="Q8" s="379"/>
      <c r="R8" s="379">
        <v>240</v>
      </c>
      <c r="S8" s="379"/>
      <c r="T8" s="379">
        <v>688</v>
      </c>
      <c r="U8" s="379">
        <f>1320+245</f>
        <v>1565</v>
      </c>
      <c r="V8" s="379">
        <f>265+1080</f>
        <v>1345</v>
      </c>
      <c r="W8" s="379">
        <v>80</v>
      </c>
      <c r="X8" s="379"/>
      <c r="Y8" s="379"/>
      <c r="Z8" s="379">
        <f>610+120</f>
        <v>730</v>
      </c>
      <c r="AA8" s="379">
        <v>584</v>
      </c>
      <c r="AB8" s="379">
        <v>240</v>
      </c>
      <c r="AC8" s="379">
        <v>62.5</v>
      </c>
      <c r="AD8" s="379">
        <v>297.5</v>
      </c>
      <c r="AE8" s="379"/>
      <c r="AF8" s="379"/>
      <c r="AG8" s="379"/>
      <c r="AH8" s="380">
        <f>SUM(C8:AG8)</f>
        <v>12442.5</v>
      </c>
      <c r="AI8" s="381"/>
      <c r="AJ8" s="376" t="s">
        <v>159</v>
      </c>
      <c r="AK8" s="377" t="s">
        <v>202</v>
      </c>
      <c r="AM8" s="211"/>
    </row>
    <row r="9" spans="1:39" x14ac:dyDescent="0.25">
      <c r="A9" s="376" t="s">
        <v>164</v>
      </c>
      <c r="B9" s="377" t="s">
        <v>165</v>
      </c>
      <c r="C9" s="378"/>
      <c r="D9" s="379"/>
      <c r="E9" s="379"/>
      <c r="F9" s="379"/>
      <c r="G9" s="379"/>
      <c r="H9" s="379"/>
      <c r="I9" s="379"/>
      <c r="J9" s="379"/>
      <c r="K9" s="379"/>
      <c r="L9" s="379"/>
      <c r="M9" s="379"/>
      <c r="N9" s="379"/>
      <c r="O9" s="379"/>
      <c r="P9" s="379"/>
      <c r="Q9" s="379"/>
      <c r="R9" s="379"/>
      <c r="S9" s="379"/>
      <c r="T9" s="379"/>
      <c r="U9" s="379"/>
      <c r="V9" s="379"/>
      <c r="W9" s="379"/>
      <c r="X9" s="379"/>
      <c r="Y9" s="379"/>
      <c r="Z9" s="379"/>
      <c r="AA9" s="379"/>
      <c r="AB9" s="379"/>
      <c r="AC9" s="379"/>
      <c r="AD9" s="379"/>
      <c r="AE9" s="379"/>
      <c r="AF9" s="379"/>
      <c r="AG9" s="379"/>
      <c r="AH9" s="380">
        <f t="shared" ref="AH9:AH13" si="2">SUM(C9:AG9)</f>
        <v>0</v>
      </c>
      <c r="AI9" s="381"/>
      <c r="AJ9" s="376" t="s">
        <v>164</v>
      </c>
      <c r="AK9" s="377" t="s">
        <v>165</v>
      </c>
      <c r="AM9" s="211"/>
    </row>
    <row r="10" spans="1:39" x14ac:dyDescent="0.25">
      <c r="A10" s="376" t="s">
        <v>166</v>
      </c>
      <c r="B10" s="377" t="s">
        <v>167</v>
      </c>
      <c r="C10" s="378"/>
      <c r="D10" s="379"/>
      <c r="E10" s="379"/>
      <c r="F10" s="379"/>
      <c r="G10" s="379"/>
      <c r="H10" s="379"/>
      <c r="I10" s="379"/>
      <c r="J10" s="379"/>
      <c r="K10" s="379"/>
      <c r="L10" s="379"/>
      <c r="M10" s="379"/>
      <c r="N10" s="379"/>
      <c r="O10" s="379"/>
      <c r="P10" s="379"/>
      <c r="Q10" s="379"/>
      <c r="R10" s="379"/>
      <c r="S10" s="379"/>
      <c r="T10" s="379"/>
      <c r="U10" s="379"/>
      <c r="V10" s="379"/>
      <c r="W10" s="379"/>
      <c r="X10" s="379"/>
      <c r="Y10" s="379"/>
      <c r="Z10" s="379"/>
      <c r="AA10" s="379"/>
      <c r="AB10" s="379"/>
      <c r="AC10" s="379"/>
      <c r="AD10" s="379"/>
      <c r="AE10" s="379"/>
      <c r="AF10" s="379"/>
      <c r="AG10" s="379"/>
      <c r="AH10" s="380">
        <f t="shared" si="2"/>
        <v>0</v>
      </c>
      <c r="AI10" s="381"/>
      <c r="AJ10" s="376" t="s">
        <v>166</v>
      </c>
      <c r="AK10" s="377" t="s">
        <v>167</v>
      </c>
      <c r="AM10" s="211"/>
    </row>
    <row r="11" spans="1:39" x14ac:dyDescent="0.25">
      <c r="A11" s="376" t="s">
        <v>160</v>
      </c>
      <c r="B11" s="377" t="s">
        <v>161</v>
      </c>
      <c r="C11" s="378"/>
      <c r="D11" s="379"/>
      <c r="E11" s="379"/>
      <c r="F11" s="379"/>
      <c r="G11" s="379"/>
      <c r="H11" s="379"/>
      <c r="I11" s="379"/>
      <c r="J11" s="379"/>
      <c r="K11" s="379"/>
      <c r="L11" s="379"/>
      <c r="M11" s="379"/>
      <c r="N11" s="379"/>
      <c r="O11" s="379"/>
      <c r="P11" s="379"/>
      <c r="Q11" s="379"/>
      <c r="R11" s="379"/>
      <c r="S11" s="379"/>
      <c r="T11" s="379"/>
      <c r="U11" s="379"/>
      <c r="V11" s="379"/>
      <c r="W11" s="379"/>
      <c r="X11" s="379"/>
      <c r="Y11" s="379"/>
      <c r="Z11" s="379"/>
      <c r="AA11" s="379"/>
      <c r="AB11" s="379"/>
      <c r="AC11" s="379"/>
      <c r="AD11" s="379"/>
      <c r="AE11" s="379"/>
      <c r="AF11" s="379"/>
      <c r="AG11" s="379"/>
      <c r="AH11" s="380">
        <f t="shared" si="2"/>
        <v>0</v>
      </c>
      <c r="AI11" s="381"/>
      <c r="AJ11" s="376" t="s">
        <v>160</v>
      </c>
      <c r="AK11" s="377" t="s">
        <v>161</v>
      </c>
      <c r="AM11" s="211"/>
    </row>
    <row r="12" spans="1:39" x14ac:dyDescent="0.25">
      <c r="A12" s="376" t="s">
        <v>171</v>
      </c>
      <c r="B12" s="377" t="s">
        <v>172</v>
      </c>
      <c r="C12" s="378"/>
      <c r="D12" s="379"/>
      <c r="E12" s="379"/>
      <c r="F12" s="379"/>
      <c r="G12" s="379"/>
      <c r="H12" s="379"/>
      <c r="I12" s="379"/>
      <c r="J12" s="379"/>
      <c r="K12" s="379"/>
      <c r="L12" s="379"/>
      <c r="M12" s="379"/>
      <c r="N12" s="379"/>
      <c r="O12" s="379"/>
      <c r="P12" s="379"/>
      <c r="Q12" s="379"/>
      <c r="R12" s="379"/>
      <c r="S12" s="379"/>
      <c r="T12" s="379"/>
      <c r="U12" s="379"/>
      <c r="V12" s="379"/>
      <c r="W12" s="379"/>
      <c r="X12" s="379"/>
      <c r="Y12" s="379"/>
      <c r="Z12" s="379"/>
      <c r="AA12" s="379"/>
      <c r="AB12" s="379"/>
      <c r="AC12" s="379"/>
      <c r="AD12" s="379"/>
      <c r="AE12" s="379"/>
      <c r="AF12" s="379"/>
      <c r="AG12" s="379"/>
      <c r="AH12" s="380">
        <f t="shared" si="2"/>
        <v>0</v>
      </c>
      <c r="AI12" s="381"/>
      <c r="AJ12" s="376" t="s">
        <v>171</v>
      </c>
      <c r="AK12" s="377" t="s">
        <v>172</v>
      </c>
      <c r="AM12" s="211"/>
    </row>
    <row r="13" spans="1:39" x14ac:dyDescent="0.25">
      <c r="A13" s="376" t="s">
        <v>173</v>
      </c>
      <c r="B13" s="377" t="s">
        <v>174</v>
      </c>
      <c r="C13" s="378"/>
      <c r="D13" s="379"/>
      <c r="E13" s="379"/>
      <c r="F13" s="379"/>
      <c r="G13" s="379"/>
      <c r="H13" s="379"/>
      <c r="I13" s="379"/>
      <c r="J13" s="379"/>
      <c r="K13" s="379"/>
      <c r="L13" s="379"/>
      <c r="M13" s="379"/>
      <c r="N13" s="379"/>
      <c r="O13" s="379"/>
      <c r="P13" s="379"/>
      <c r="Q13" s="379"/>
      <c r="R13" s="379"/>
      <c r="S13" s="379"/>
      <c r="T13" s="379"/>
      <c r="U13" s="379"/>
      <c r="V13" s="379"/>
      <c r="W13" s="379"/>
      <c r="X13" s="379"/>
      <c r="Y13" s="379"/>
      <c r="Z13" s="379"/>
      <c r="AA13" s="379"/>
      <c r="AB13" s="379"/>
      <c r="AC13" s="379"/>
      <c r="AD13" s="379"/>
      <c r="AE13" s="379"/>
      <c r="AF13" s="379"/>
      <c r="AG13" s="379"/>
      <c r="AH13" s="380">
        <f t="shared" si="2"/>
        <v>0</v>
      </c>
      <c r="AI13" s="381"/>
      <c r="AJ13" s="376" t="s">
        <v>173</v>
      </c>
      <c r="AK13" s="377" t="s">
        <v>174</v>
      </c>
      <c r="AM13" s="211"/>
    </row>
    <row r="14" spans="1:39" x14ac:dyDescent="0.25">
      <c r="A14" s="69" t="s">
        <v>34</v>
      </c>
      <c r="B14" s="70" t="s">
        <v>35</v>
      </c>
      <c r="C14" s="71">
        <v>90</v>
      </c>
      <c r="D14" s="72"/>
      <c r="E14" s="72"/>
      <c r="F14" s="72"/>
      <c r="G14" s="72"/>
      <c r="H14" s="72"/>
      <c r="I14" s="72">
        <v>180</v>
      </c>
      <c r="J14" s="72"/>
      <c r="K14" s="72"/>
      <c r="L14" s="72">
        <v>4</v>
      </c>
      <c r="M14" s="72">
        <v>4</v>
      </c>
      <c r="N14" s="72">
        <v>8</v>
      </c>
      <c r="O14" s="72">
        <v>4</v>
      </c>
      <c r="P14" s="72">
        <v>124</v>
      </c>
      <c r="Q14" s="72"/>
      <c r="R14" s="72"/>
      <c r="S14" s="72"/>
      <c r="T14" s="72">
        <v>8</v>
      </c>
      <c r="U14" s="72"/>
      <c r="V14" s="72">
        <v>4</v>
      </c>
      <c r="W14" s="72">
        <v>130</v>
      </c>
      <c r="X14" s="72"/>
      <c r="Y14" s="72"/>
      <c r="Z14" s="72"/>
      <c r="AA14" s="72">
        <v>4</v>
      </c>
      <c r="AB14" s="72">
        <v>4</v>
      </c>
      <c r="AC14" s="72">
        <v>4</v>
      </c>
      <c r="AD14" s="72">
        <v>164</v>
      </c>
      <c r="AE14" s="72"/>
      <c r="AF14" s="72"/>
      <c r="AG14" s="72"/>
      <c r="AH14" s="108">
        <f t="shared" si="1"/>
        <v>732</v>
      </c>
      <c r="AJ14" s="69" t="s">
        <v>34</v>
      </c>
      <c r="AK14" s="70" t="s">
        <v>35</v>
      </c>
    </row>
    <row r="15" spans="1:39" x14ac:dyDescent="0.25">
      <c r="A15" s="69" t="s">
        <v>36</v>
      </c>
      <c r="B15" s="70" t="s">
        <v>37</v>
      </c>
      <c r="C15" s="71"/>
      <c r="D15" s="72">
        <v>40.43</v>
      </c>
      <c r="E15" s="72">
        <v>117.86</v>
      </c>
      <c r="F15" s="72">
        <v>190.73</v>
      </c>
      <c r="G15" s="72">
        <v>403.44</v>
      </c>
      <c r="H15" s="72">
        <v>140.75</v>
      </c>
      <c r="I15" s="72">
        <v>118.68</v>
      </c>
      <c r="J15" s="72"/>
      <c r="K15" s="72">
        <v>154.63</v>
      </c>
      <c r="L15" s="72">
        <v>114.78</v>
      </c>
      <c r="M15" s="72">
        <v>184.57</v>
      </c>
      <c r="N15" s="72">
        <v>338.84</v>
      </c>
      <c r="O15" s="72">
        <v>281.05</v>
      </c>
      <c r="P15" s="72">
        <v>140.74</v>
      </c>
      <c r="Q15" s="72"/>
      <c r="R15" s="72">
        <v>79.03</v>
      </c>
      <c r="S15" s="72">
        <v>114.91</v>
      </c>
      <c r="T15" s="72">
        <v>182.36</v>
      </c>
      <c r="U15" s="72">
        <v>313.82</v>
      </c>
      <c r="V15" s="72">
        <v>234.44</v>
      </c>
      <c r="W15" s="72">
        <v>167.22</v>
      </c>
      <c r="X15" s="72"/>
      <c r="Y15" s="72">
        <v>88.81</v>
      </c>
      <c r="Z15" s="72">
        <v>46.95</v>
      </c>
      <c r="AA15" s="72">
        <v>124.83</v>
      </c>
      <c r="AB15" s="72">
        <v>470.33</v>
      </c>
      <c r="AC15" s="72">
        <v>261.14</v>
      </c>
      <c r="AD15" s="72">
        <v>126.98</v>
      </c>
      <c r="AE15" s="72"/>
      <c r="AF15" s="72"/>
      <c r="AG15" s="72"/>
      <c r="AH15" s="108">
        <f t="shared" si="1"/>
        <v>4437.32</v>
      </c>
      <c r="AJ15" s="69" t="s">
        <v>36</v>
      </c>
      <c r="AK15" s="70" t="s">
        <v>37</v>
      </c>
    </row>
    <row r="16" spans="1:39" x14ac:dyDescent="0.25">
      <c r="A16" s="69" t="s">
        <v>208</v>
      </c>
      <c r="B16" s="70" t="s">
        <v>116</v>
      </c>
      <c r="C16" s="71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108">
        <f t="shared" si="1"/>
        <v>0</v>
      </c>
      <c r="AJ16" s="69" t="s">
        <v>115</v>
      </c>
      <c r="AK16" s="70" t="s">
        <v>116</v>
      </c>
    </row>
    <row r="17" spans="1:39" x14ac:dyDescent="0.25">
      <c r="A17" s="69" t="s">
        <v>78</v>
      </c>
      <c r="B17" s="70" t="s">
        <v>203</v>
      </c>
      <c r="C17" s="71"/>
      <c r="D17" s="72">
        <f>25.6+52.5</f>
        <v>78.099999999999994</v>
      </c>
      <c r="E17" s="72">
        <v>217.5</v>
      </c>
      <c r="F17" s="72">
        <f>25.6+52.5</f>
        <v>78.099999999999994</v>
      </c>
      <c r="G17" s="72"/>
      <c r="H17" s="72"/>
      <c r="I17" s="72">
        <f>12.8+135</f>
        <v>147.80000000000001</v>
      </c>
      <c r="J17" s="72">
        <v>87.5</v>
      </c>
      <c r="K17" s="72"/>
      <c r="L17" s="72">
        <v>282.5</v>
      </c>
      <c r="M17" s="72"/>
      <c r="N17" s="72"/>
      <c r="O17" s="72"/>
      <c r="P17" s="72">
        <v>215</v>
      </c>
      <c r="Q17" s="72"/>
      <c r="R17" s="72"/>
      <c r="S17" s="72"/>
      <c r="T17" s="72">
        <v>16</v>
      </c>
      <c r="U17" s="72">
        <v>370</v>
      </c>
      <c r="V17" s="72"/>
      <c r="W17" s="72">
        <f>16+80</f>
        <v>96</v>
      </c>
      <c r="X17" s="72"/>
      <c r="Y17" s="72"/>
      <c r="Z17" s="72">
        <f>32+175</f>
        <v>207</v>
      </c>
      <c r="AA17" s="72"/>
      <c r="AB17" s="72"/>
      <c r="AC17" s="72">
        <v>62.5</v>
      </c>
      <c r="AD17" s="72">
        <v>132.5</v>
      </c>
      <c r="AE17" s="72"/>
      <c r="AF17" s="72"/>
      <c r="AG17" s="72"/>
      <c r="AH17" s="108">
        <f t="shared" si="1"/>
        <v>1990.5</v>
      </c>
      <c r="AJ17" s="69" t="s">
        <v>78</v>
      </c>
      <c r="AK17" s="70" t="s">
        <v>79</v>
      </c>
      <c r="AL17" s="211"/>
    </row>
    <row r="18" spans="1:39" x14ac:dyDescent="0.25">
      <c r="A18" s="456" t="s">
        <v>204</v>
      </c>
      <c r="B18" s="70" t="s">
        <v>64</v>
      </c>
      <c r="C18" s="71"/>
      <c r="D18" s="72"/>
      <c r="E18" s="72"/>
      <c r="F18" s="72"/>
      <c r="G18" s="72"/>
      <c r="H18" s="72"/>
      <c r="I18" s="72">
        <v>19.2</v>
      </c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>
        <v>0</v>
      </c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108">
        <f t="shared" si="1"/>
        <v>19.2</v>
      </c>
      <c r="AJ18" s="456" t="s">
        <v>204</v>
      </c>
      <c r="AK18" s="70" t="s">
        <v>64</v>
      </c>
      <c r="AL18" s="211">
        <f>AH18*0.5</f>
        <v>9.6</v>
      </c>
    </row>
    <row r="19" spans="1:39" x14ac:dyDescent="0.25">
      <c r="A19" s="69" t="s">
        <v>38</v>
      </c>
      <c r="B19" s="70" t="s">
        <v>39</v>
      </c>
      <c r="C19" s="71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108">
        <f t="shared" si="1"/>
        <v>0</v>
      </c>
      <c r="AJ19" s="69" t="s">
        <v>38</v>
      </c>
      <c r="AK19" s="70" t="s">
        <v>39</v>
      </c>
    </row>
    <row r="20" spans="1:39" x14ac:dyDescent="0.25">
      <c r="A20" s="376" t="s">
        <v>168</v>
      </c>
      <c r="B20" s="377" t="s">
        <v>169</v>
      </c>
      <c r="C20" s="378"/>
      <c r="D20" s="379"/>
      <c r="E20" s="379"/>
      <c r="F20" s="379"/>
      <c r="G20" s="379"/>
      <c r="H20" s="379"/>
      <c r="I20" s="379"/>
      <c r="J20" s="379"/>
      <c r="K20" s="379">
        <v>180</v>
      </c>
      <c r="L20" s="379"/>
      <c r="M20" s="379"/>
      <c r="N20" s="379"/>
      <c r="O20" s="379"/>
      <c r="P20" s="379">
        <v>135</v>
      </c>
      <c r="Q20" s="379"/>
      <c r="R20" s="379"/>
      <c r="S20" s="379"/>
      <c r="T20" s="379"/>
      <c r="U20" s="379"/>
      <c r="V20" s="379"/>
      <c r="W20" s="379"/>
      <c r="X20" s="379"/>
      <c r="Y20" s="379"/>
      <c r="Z20" s="379"/>
      <c r="AA20" s="379"/>
      <c r="AB20" s="379"/>
      <c r="AC20" s="379"/>
      <c r="AD20" s="379"/>
      <c r="AE20" s="379"/>
      <c r="AF20" s="379"/>
      <c r="AG20" s="379"/>
      <c r="AH20" s="380">
        <f t="shared" si="1"/>
        <v>315</v>
      </c>
      <c r="AI20" s="381"/>
      <c r="AJ20" s="376" t="s">
        <v>168</v>
      </c>
      <c r="AK20" s="377" t="s">
        <v>170</v>
      </c>
    </row>
    <row r="21" spans="1:39" x14ac:dyDescent="0.25">
      <c r="A21" s="69" t="s">
        <v>40</v>
      </c>
      <c r="B21" s="70" t="s">
        <v>41</v>
      </c>
      <c r="C21" s="71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108">
        <f t="shared" si="1"/>
        <v>0</v>
      </c>
      <c r="AJ21" s="69" t="s">
        <v>40</v>
      </c>
      <c r="AK21" s="70" t="s">
        <v>41</v>
      </c>
    </row>
    <row r="22" spans="1:39" x14ac:dyDescent="0.25">
      <c r="A22" s="69" t="s">
        <v>42</v>
      </c>
      <c r="B22" s="70" t="s">
        <v>43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42</v>
      </c>
      <c r="AK22" s="70" t="s">
        <v>43</v>
      </c>
    </row>
    <row r="23" spans="1:39" hidden="1" x14ac:dyDescent="0.25">
      <c r="A23" s="69" t="s">
        <v>44</v>
      </c>
      <c r="B23" s="70" t="s">
        <v>45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44</v>
      </c>
      <c r="AK23" s="70" t="s">
        <v>45</v>
      </c>
    </row>
    <row r="24" spans="1:39" hidden="1" x14ac:dyDescent="0.25">
      <c r="A24" s="69" t="s">
        <v>46</v>
      </c>
      <c r="B24" s="70" t="s">
        <v>47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46</v>
      </c>
      <c r="AK24" s="70" t="s">
        <v>47</v>
      </c>
    </row>
    <row r="25" spans="1:39" hidden="1" x14ac:dyDescent="0.25">
      <c r="A25" s="69" t="s">
        <v>48</v>
      </c>
      <c r="B25" s="70" t="s">
        <v>49</v>
      </c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108">
        <f t="shared" si="1"/>
        <v>0</v>
      </c>
      <c r="AJ25" s="69" t="s">
        <v>48</v>
      </c>
      <c r="AK25" s="70" t="s">
        <v>49</v>
      </c>
      <c r="AM25" s="211"/>
    </row>
    <row r="26" spans="1:39" x14ac:dyDescent="0.25">
      <c r="A26" s="69" t="s">
        <v>50</v>
      </c>
      <c r="B26" s="70" t="s">
        <v>51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1"/>
        <v>0</v>
      </c>
      <c r="AJ26" s="69" t="s">
        <v>50</v>
      </c>
      <c r="AK26" s="70" t="s">
        <v>51</v>
      </c>
    </row>
    <row r="27" spans="1:39" x14ac:dyDescent="0.25">
      <c r="A27" s="69" t="s">
        <v>52</v>
      </c>
      <c r="B27" s="70" t="s">
        <v>53</v>
      </c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08">
        <f t="shared" si="1"/>
        <v>0</v>
      </c>
      <c r="AJ27" s="75" t="s">
        <v>52</v>
      </c>
      <c r="AK27" s="76" t="s">
        <v>53</v>
      </c>
    </row>
    <row r="28" spans="1:39" ht="16.5" thickBot="1" x14ac:dyDescent="0.3">
      <c r="A28" s="77" t="s">
        <v>114</v>
      </c>
      <c r="B28" s="78" t="s">
        <v>87</v>
      </c>
      <c r="C28" s="79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>
        <v>2</v>
      </c>
      <c r="S28" s="80"/>
      <c r="T28" s="80">
        <v>72</v>
      </c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108">
        <f t="shared" si="1"/>
        <v>74</v>
      </c>
      <c r="AJ28" s="81" t="s">
        <v>114</v>
      </c>
      <c r="AK28" s="82" t="s">
        <v>87</v>
      </c>
      <c r="AL28" s="211"/>
    </row>
    <row r="29" spans="1:39" s="60" customFormat="1" ht="13.5" thickBot="1" x14ac:dyDescent="0.25">
      <c r="A29" s="199"/>
      <c r="B29" s="84" t="s">
        <v>65</v>
      </c>
      <c r="C29" s="107">
        <f t="shared" ref="C29:AG29" si="3">SUM(C3:C28)</f>
        <v>305</v>
      </c>
      <c r="D29" s="107">
        <f t="shared" si="3"/>
        <v>1132.45</v>
      </c>
      <c r="E29" s="107">
        <f t="shared" si="3"/>
        <v>2332.4</v>
      </c>
      <c r="F29" s="107">
        <f t="shared" si="3"/>
        <v>2964.95</v>
      </c>
      <c r="G29" s="107">
        <f t="shared" si="3"/>
        <v>5768.36</v>
      </c>
      <c r="H29" s="107">
        <f t="shared" si="3"/>
        <v>3378.05</v>
      </c>
      <c r="I29" s="107">
        <f t="shared" si="3"/>
        <v>1785.7</v>
      </c>
      <c r="J29" s="107">
        <f t="shared" si="3"/>
        <v>390</v>
      </c>
      <c r="K29" s="107">
        <f t="shared" si="3"/>
        <v>1830.9</v>
      </c>
      <c r="L29" s="107">
        <f t="shared" si="3"/>
        <v>2130.73</v>
      </c>
      <c r="M29" s="107">
        <f t="shared" si="3"/>
        <v>3379.4900000000002</v>
      </c>
      <c r="N29" s="107">
        <f t="shared" si="3"/>
        <v>6304.74</v>
      </c>
      <c r="O29" s="107">
        <f>SUM(O3:O28)</f>
        <v>2686.7500000000005</v>
      </c>
      <c r="P29" s="107">
        <f t="shared" si="3"/>
        <v>2175.27</v>
      </c>
      <c r="Q29" s="107">
        <f t="shared" si="3"/>
        <v>0</v>
      </c>
      <c r="R29" s="107">
        <f t="shared" si="3"/>
        <v>1977.2</v>
      </c>
      <c r="S29" s="107">
        <f t="shared" si="3"/>
        <v>1140.3600000000001</v>
      </c>
      <c r="T29" s="107">
        <f t="shared" si="3"/>
        <v>3392.08</v>
      </c>
      <c r="U29" s="107">
        <f t="shared" si="3"/>
        <v>12554.41</v>
      </c>
      <c r="V29" s="107">
        <f t="shared" si="3"/>
        <v>9055.7200000000012</v>
      </c>
      <c r="W29" s="107">
        <f t="shared" si="3"/>
        <v>2968.5399999999995</v>
      </c>
      <c r="X29" s="107">
        <f t="shared" si="3"/>
        <v>0</v>
      </c>
      <c r="Y29" s="107">
        <f t="shared" si="3"/>
        <v>963.87000000000012</v>
      </c>
      <c r="Z29" s="107">
        <f t="shared" si="3"/>
        <v>1944.69</v>
      </c>
      <c r="AA29" s="107">
        <f t="shared" si="3"/>
        <v>3552.9199999999996</v>
      </c>
      <c r="AB29" s="107">
        <f t="shared" si="3"/>
        <v>6315.83</v>
      </c>
      <c r="AC29" s="107">
        <f t="shared" si="3"/>
        <v>3812.78</v>
      </c>
      <c r="AD29" s="107">
        <f t="shared" si="3"/>
        <v>1781.47</v>
      </c>
      <c r="AE29" s="107">
        <f t="shared" si="3"/>
        <v>0</v>
      </c>
      <c r="AF29" s="107">
        <f t="shared" si="3"/>
        <v>0</v>
      </c>
      <c r="AG29" s="107">
        <f t="shared" si="3"/>
        <v>0</v>
      </c>
      <c r="AH29" s="109">
        <f>SUM(C3:AG28)</f>
        <v>86024.660000000018</v>
      </c>
      <c r="AI29" s="85"/>
      <c r="AJ29" s="276"/>
      <c r="AK29" s="277" t="s">
        <v>65</v>
      </c>
    </row>
    <row r="30" spans="1:39" s="60" customFormat="1" ht="13.5" thickBot="1" x14ac:dyDescent="0.25">
      <c r="A30" s="200"/>
      <c r="B30" s="91" t="s">
        <v>109</v>
      </c>
      <c r="C30" s="72">
        <v>305</v>
      </c>
      <c r="D30" s="72">
        <v>1132.45</v>
      </c>
      <c r="E30" s="72">
        <v>2332.4</v>
      </c>
      <c r="F30" s="72">
        <v>2964.95</v>
      </c>
      <c r="G30" s="72">
        <v>5768.36</v>
      </c>
      <c r="H30" s="72">
        <v>3378.05</v>
      </c>
      <c r="I30" s="72">
        <v>1785.7</v>
      </c>
      <c r="J30" s="72">
        <v>390</v>
      </c>
      <c r="K30" s="72">
        <v>1830.9</v>
      </c>
      <c r="L30" s="72">
        <v>2130.73</v>
      </c>
      <c r="M30" s="72">
        <v>3379.49</v>
      </c>
      <c r="N30" s="72">
        <v>6304.74</v>
      </c>
      <c r="O30" s="72">
        <v>2686.75</v>
      </c>
      <c r="P30" s="72">
        <v>2175.27</v>
      </c>
      <c r="Q30" s="72"/>
      <c r="R30" s="72">
        <v>1977.2</v>
      </c>
      <c r="S30" s="72">
        <v>1140.3599999999999</v>
      </c>
      <c r="T30" s="72">
        <v>3392.08</v>
      </c>
      <c r="U30" s="72">
        <v>12554.41</v>
      </c>
      <c r="V30" s="72">
        <v>9055.7199999999993</v>
      </c>
      <c r="W30" s="72">
        <v>2968.54</v>
      </c>
      <c r="X30" s="72"/>
      <c r="Y30" s="72">
        <v>963.87</v>
      </c>
      <c r="Z30" s="72">
        <v>1944.69</v>
      </c>
      <c r="AA30" s="72">
        <v>3552.92</v>
      </c>
      <c r="AB30" s="72">
        <v>6315.83</v>
      </c>
      <c r="AC30" s="72">
        <v>3812.78</v>
      </c>
      <c r="AD30" s="72">
        <v>1781.47</v>
      </c>
      <c r="AE30" s="72"/>
      <c r="AF30" s="72"/>
      <c r="AG30" s="72"/>
      <c r="AH30" s="192">
        <f>SUM(C30:AG30)</f>
        <v>86024.659999999989</v>
      </c>
      <c r="AI30" s="85"/>
      <c r="AJ30" s="191"/>
      <c r="AK30" s="191"/>
    </row>
    <row r="31" spans="1:39" s="60" customFormat="1" thickBot="1" x14ac:dyDescent="0.3">
      <c r="A31" s="201"/>
      <c r="B31" s="104" t="s">
        <v>107</v>
      </c>
      <c r="C31" s="133">
        <f t="shared" ref="C31:AH31" si="4">C29-C30</f>
        <v>0</v>
      </c>
      <c r="D31" s="133">
        <f t="shared" si="4"/>
        <v>0</v>
      </c>
      <c r="E31" s="133">
        <f t="shared" si="4"/>
        <v>0</v>
      </c>
      <c r="F31" s="133">
        <f t="shared" si="4"/>
        <v>0</v>
      </c>
      <c r="G31" s="133">
        <f t="shared" si="4"/>
        <v>0</v>
      </c>
      <c r="H31" s="133">
        <f t="shared" si="4"/>
        <v>0</v>
      </c>
      <c r="I31" s="133">
        <f t="shared" si="4"/>
        <v>0</v>
      </c>
      <c r="J31" s="133">
        <f t="shared" ref="J31:O31" si="5">J29-J30</f>
        <v>0</v>
      </c>
      <c r="K31" s="133">
        <f t="shared" si="5"/>
        <v>0</v>
      </c>
      <c r="L31" s="133">
        <f t="shared" si="5"/>
        <v>0</v>
      </c>
      <c r="M31" s="133">
        <f t="shared" si="5"/>
        <v>0</v>
      </c>
      <c r="N31" s="133">
        <f t="shared" si="5"/>
        <v>0</v>
      </c>
      <c r="O31" s="133">
        <f t="shared" si="5"/>
        <v>0</v>
      </c>
      <c r="P31" s="133">
        <f t="shared" si="4"/>
        <v>0</v>
      </c>
      <c r="Q31" s="133">
        <f t="shared" si="4"/>
        <v>0</v>
      </c>
      <c r="R31" s="133">
        <f t="shared" si="4"/>
        <v>0</v>
      </c>
      <c r="S31" s="133">
        <f t="shared" si="4"/>
        <v>0</v>
      </c>
      <c r="T31" s="133">
        <f t="shared" si="4"/>
        <v>0</v>
      </c>
      <c r="U31" s="133">
        <f t="shared" si="4"/>
        <v>0</v>
      </c>
      <c r="V31" s="133">
        <f t="shared" si="4"/>
        <v>0</v>
      </c>
      <c r="W31" s="133">
        <f t="shared" si="4"/>
        <v>0</v>
      </c>
      <c r="X31" s="133">
        <f t="shared" si="4"/>
        <v>0</v>
      </c>
      <c r="Y31" s="133">
        <f t="shared" si="4"/>
        <v>0</v>
      </c>
      <c r="Z31" s="133">
        <f t="shared" si="4"/>
        <v>0</v>
      </c>
      <c r="AA31" s="133">
        <f t="shared" si="4"/>
        <v>0</v>
      </c>
      <c r="AB31" s="133">
        <f t="shared" si="4"/>
        <v>0</v>
      </c>
      <c r="AC31" s="133">
        <f t="shared" si="4"/>
        <v>0</v>
      </c>
      <c r="AD31" s="133">
        <f t="shared" si="4"/>
        <v>0</v>
      </c>
      <c r="AE31" s="133">
        <f t="shared" si="4"/>
        <v>0</v>
      </c>
      <c r="AF31" s="133">
        <f t="shared" si="4"/>
        <v>0</v>
      </c>
      <c r="AG31" s="133">
        <f t="shared" si="4"/>
        <v>0</v>
      </c>
      <c r="AH31" s="278">
        <f t="shared" si="4"/>
        <v>0</v>
      </c>
      <c r="AI31" s="85"/>
      <c r="AJ31" s="468" t="s">
        <v>134</v>
      </c>
      <c r="AK31" s="469"/>
      <c r="AL31" s="469"/>
      <c r="AM31" s="470"/>
    </row>
    <row r="32" spans="1:39" ht="16.5" thickBot="1" x14ac:dyDescent="0.3">
      <c r="A32" s="195"/>
      <c r="B32" s="196"/>
      <c r="C32" s="197"/>
      <c r="D32" s="196"/>
      <c r="E32" s="196"/>
      <c r="F32" s="196"/>
      <c r="G32" s="196"/>
      <c r="H32" s="279"/>
      <c r="I32" s="196"/>
      <c r="J32" s="196"/>
      <c r="K32" s="196"/>
      <c r="L32" s="196"/>
      <c r="M32" s="196"/>
      <c r="N32" s="196"/>
      <c r="O32" s="196"/>
      <c r="P32" s="196"/>
      <c r="Q32" s="196"/>
      <c r="R32" s="264"/>
      <c r="S32" s="196"/>
      <c r="T32" s="196"/>
      <c r="U32" s="196"/>
      <c r="V32" s="196"/>
      <c r="W32" s="196"/>
      <c r="X32" s="196"/>
      <c r="Y32" s="197"/>
      <c r="Z32" s="196"/>
      <c r="AA32" s="196"/>
      <c r="AB32" s="196"/>
      <c r="AC32" s="196"/>
      <c r="AD32" s="196"/>
      <c r="AE32" s="196"/>
      <c r="AF32" s="196"/>
      <c r="AG32" s="196"/>
      <c r="AH32" s="198"/>
      <c r="AJ32" s="283" t="s">
        <v>67</v>
      </c>
      <c r="AK32" s="284" t="s">
        <v>135</v>
      </c>
      <c r="AL32" s="284" t="s">
        <v>127</v>
      </c>
      <c r="AM32" s="285" t="s">
        <v>128</v>
      </c>
    </row>
    <row r="33" spans="1:40" x14ac:dyDescent="0.25">
      <c r="A33" s="89" t="s">
        <v>60</v>
      </c>
      <c r="B33" s="84" t="s">
        <v>54</v>
      </c>
      <c r="C33" s="399">
        <v>90</v>
      </c>
      <c r="D33" s="399">
        <v>359.25</v>
      </c>
      <c r="E33" s="399">
        <v>478.3</v>
      </c>
      <c r="F33" s="399">
        <v>421.65</v>
      </c>
      <c r="G33" s="399">
        <v>1003.81</v>
      </c>
      <c r="H33" s="399">
        <v>609.75</v>
      </c>
      <c r="I33" s="399">
        <v>492.4</v>
      </c>
      <c r="J33" s="399"/>
      <c r="K33" s="399">
        <v>310</v>
      </c>
      <c r="L33" s="399">
        <v>561.75</v>
      </c>
      <c r="M33" s="399">
        <v>437.49</v>
      </c>
      <c r="N33" s="399">
        <v>1042.9100000000001</v>
      </c>
      <c r="O33" s="399">
        <v>552.20000000000005</v>
      </c>
      <c r="P33" s="399">
        <v>454.85</v>
      </c>
      <c r="Q33" s="399"/>
      <c r="R33" s="399">
        <v>411.16</v>
      </c>
      <c r="S33" s="399">
        <v>487.28</v>
      </c>
      <c r="T33" s="399">
        <v>490</v>
      </c>
      <c r="U33" s="399">
        <v>2295.7800000000002</v>
      </c>
      <c r="V33" s="399">
        <v>1184.97</v>
      </c>
      <c r="W33" s="399">
        <v>413</v>
      </c>
      <c r="X33" s="399"/>
      <c r="Y33" s="399">
        <v>172.67</v>
      </c>
      <c r="Z33" s="399">
        <v>269.61</v>
      </c>
      <c r="AA33" s="399">
        <v>496.24</v>
      </c>
      <c r="AB33" s="399">
        <v>1149.1400000000001</v>
      </c>
      <c r="AC33" s="399">
        <v>452.05</v>
      </c>
      <c r="AD33" s="400">
        <v>275.8</v>
      </c>
      <c r="AE33" s="400"/>
      <c r="AF33" s="400"/>
      <c r="AG33" s="400"/>
      <c r="AH33" s="110">
        <f>SUM(C33:AG33)</f>
        <v>14912.059999999998</v>
      </c>
      <c r="AJ33" s="137" t="s">
        <v>60</v>
      </c>
      <c r="AK33" s="138" t="s">
        <v>129</v>
      </c>
      <c r="AL33" s="393">
        <f>SUM(C33:AC33)</f>
        <v>14636.259999999998</v>
      </c>
      <c r="AM33" s="394">
        <f>AD33</f>
        <v>275.8</v>
      </c>
    </row>
    <row r="34" spans="1:40" x14ac:dyDescent="0.25">
      <c r="A34" s="90" t="s">
        <v>60</v>
      </c>
      <c r="B34" s="91" t="s">
        <v>55</v>
      </c>
      <c r="C34" s="396">
        <v>215</v>
      </c>
      <c r="D34" s="396">
        <v>768.2</v>
      </c>
      <c r="E34" s="396">
        <v>1844.1</v>
      </c>
      <c r="F34" s="396">
        <v>2543.3000000000002</v>
      </c>
      <c r="G34" s="396">
        <v>4666.95</v>
      </c>
      <c r="H34" s="396">
        <v>2768.8</v>
      </c>
      <c r="I34" s="396">
        <v>1293.3</v>
      </c>
      <c r="J34" s="396">
        <v>390</v>
      </c>
      <c r="K34" s="396">
        <v>1527.15</v>
      </c>
      <c r="L34" s="396">
        <v>1540.98</v>
      </c>
      <c r="M34" s="396">
        <v>2941.01</v>
      </c>
      <c r="N34" s="396">
        <v>5262.03</v>
      </c>
      <c r="O34" s="396">
        <v>2136.6</v>
      </c>
      <c r="P34" s="396">
        <v>1724.98</v>
      </c>
      <c r="Q34" s="396"/>
      <c r="R34" s="396">
        <v>1565.04</v>
      </c>
      <c r="S34" s="396">
        <v>653.08000000000004</v>
      </c>
      <c r="T34" s="396">
        <v>2815.68</v>
      </c>
      <c r="U34" s="396">
        <v>10258.629999999999</v>
      </c>
      <c r="V34" s="396">
        <v>7816.78</v>
      </c>
      <c r="W34" s="398">
        <v>2555.5500000000002</v>
      </c>
      <c r="X34" s="398"/>
      <c r="Y34" s="398">
        <v>791.1</v>
      </c>
      <c r="Z34" s="398">
        <v>1675.08</v>
      </c>
      <c r="AA34" s="398">
        <v>3056.68</v>
      </c>
      <c r="AB34" s="398">
        <v>5166.6899999999996</v>
      </c>
      <c r="AC34" s="398">
        <v>3360.76</v>
      </c>
      <c r="AD34" s="398">
        <v>1505.67</v>
      </c>
      <c r="AE34" s="398"/>
      <c r="AF34" s="398"/>
      <c r="AG34" s="398"/>
      <c r="AH34" s="111">
        <f t="shared" ref="AH34:AH38" si="6">SUM(C34:AG34)</f>
        <v>70843.139999999985</v>
      </c>
      <c r="AJ34" s="129" t="s">
        <v>60</v>
      </c>
      <c r="AK34" s="130" t="s">
        <v>215</v>
      </c>
      <c r="AL34" s="293">
        <f>SUM(C34:V34)-AL45</f>
        <v>51143.959999999992</v>
      </c>
      <c r="AM34" s="294">
        <f>SUM(W34:AG34)-AM45</f>
        <v>17563.39</v>
      </c>
    </row>
    <row r="35" spans="1:40" x14ac:dyDescent="0.25">
      <c r="A35" s="92" t="s">
        <v>60</v>
      </c>
      <c r="B35" s="93" t="s">
        <v>101</v>
      </c>
      <c r="C35" s="387"/>
      <c r="D35" s="387"/>
      <c r="E35" s="387"/>
      <c r="F35" s="397"/>
      <c r="G35" s="387"/>
      <c r="H35" s="387"/>
      <c r="I35" s="387"/>
      <c r="J35" s="387"/>
      <c r="K35" s="387"/>
      <c r="L35" s="387"/>
      <c r="M35" s="387"/>
      <c r="N35" s="387"/>
      <c r="O35" s="387"/>
      <c r="P35" s="387"/>
      <c r="Q35" s="387"/>
      <c r="R35" s="387"/>
      <c r="S35" s="387"/>
      <c r="T35" s="387"/>
      <c r="U35" s="387"/>
      <c r="V35" s="387"/>
      <c r="W35" s="387"/>
      <c r="X35" s="387"/>
      <c r="Y35" s="388"/>
      <c r="Z35" s="388"/>
      <c r="AA35" s="387"/>
      <c r="AB35" s="387"/>
      <c r="AC35" s="387"/>
      <c r="AD35" s="387"/>
      <c r="AE35" s="387"/>
      <c r="AF35" s="387"/>
      <c r="AG35" s="387"/>
      <c r="AH35" s="111">
        <f t="shared" si="6"/>
        <v>0</v>
      </c>
      <c r="AJ35" s="129" t="s">
        <v>60</v>
      </c>
      <c r="AK35" s="130" t="s">
        <v>130</v>
      </c>
      <c r="AL35" s="293">
        <f>SUM(C35:AE35)</f>
        <v>0</v>
      </c>
      <c r="AM35" s="294">
        <f>SUM(AE35:AG35)</f>
        <v>0</v>
      </c>
    </row>
    <row r="36" spans="1:40" hidden="1" x14ac:dyDescent="0.25">
      <c r="A36" s="92" t="s">
        <v>60</v>
      </c>
      <c r="B36" s="93" t="s">
        <v>102</v>
      </c>
      <c r="C36" s="387"/>
      <c r="D36" s="387"/>
      <c r="E36" s="387"/>
      <c r="F36" s="387"/>
      <c r="G36" s="387"/>
      <c r="H36" s="387"/>
      <c r="I36" s="387"/>
      <c r="J36" s="387"/>
      <c r="K36" s="387"/>
      <c r="L36" s="387"/>
      <c r="M36" s="387"/>
      <c r="N36" s="387"/>
      <c r="O36" s="387"/>
      <c r="P36" s="387"/>
      <c r="Q36" s="387"/>
      <c r="R36" s="387"/>
      <c r="S36" s="387"/>
      <c r="T36" s="387"/>
      <c r="U36" s="387"/>
      <c r="V36" s="387"/>
      <c r="W36" s="387"/>
      <c r="X36" s="387"/>
      <c r="Y36" s="387"/>
      <c r="Z36" s="387"/>
      <c r="AA36" s="387"/>
      <c r="AB36" s="387"/>
      <c r="AC36" s="387"/>
      <c r="AD36" s="387"/>
      <c r="AE36" s="387"/>
      <c r="AF36" s="387"/>
      <c r="AG36" s="387"/>
      <c r="AH36" s="111">
        <f t="shared" si="6"/>
        <v>0</v>
      </c>
      <c r="AJ36" s="129" t="s">
        <v>60</v>
      </c>
      <c r="AK36" s="130" t="s">
        <v>131</v>
      </c>
      <c r="AL36" s="293"/>
      <c r="AM36" s="395"/>
    </row>
    <row r="37" spans="1:40" ht="16.5" customHeight="1" x14ac:dyDescent="0.25">
      <c r="A37" s="92" t="s">
        <v>68</v>
      </c>
      <c r="B37" s="93" t="s">
        <v>69</v>
      </c>
      <c r="C37" s="387"/>
      <c r="D37" s="387"/>
      <c r="E37" s="387"/>
      <c r="F37" s="387"/>
      <c r="G37" s="387"/>
      <c r="H37" s="387"/>
      <c r="I37" s="387"/>
      <c r="J37" s="387"/>
      <c r="K37" s="387"/>
      <c r="L37" s="387"/>
      <c r="M37" s="387"/>
      <c r="N37" s="387"/>
      <c r="O37" s="387"/>
      <c r="P37" s="387"/>
      <c r="Q37" s="387"/>
      <c r="R37" s="387"/>
      <c r="S37" s="387"/>
      <c r="T37" s="387">
        <v>72</v>
      </c>
      <c r="U37" s="387"/>
      <c r="V37" s="387"/>
      <c r="W37" s="387"/>
      <c r="X37" s="387"/>
      <c r="Y37" s="387"/>
      <c r="Z37" s="387"/>
      <c r="AA37" s="387"/>
      <c r="AB37" s="387"/>
      <c r="AC37" s="387"/>
      <c r="AD37" s="387"/>
      <c r="AE37" s="387"/>
      <c r="AF37" s="387"/>
      <c r="AG37" s="387"/>
      <c r="AH37" s="111">
        <f t="shared" si="6"/>
        <v>72</v>
      </c>
      <c r="AJ37" s="129" t="s">
        <v>68</v>
      </c>
      <c r="AK37" s="130" t="s">
        <v>95</v>
      </c>
      <c r="AL37" s="270">
        <f>AH37</f>
        <v>72</v>
      </c>
      <c r="AM37" s="271"/>
      <c r="AN37" s="266" t="s">
        <v>132</v>
      </c>
    </row>
    <row r="38" spans="1:40" ht="16.5" thickBot="1" x14ac:dyDescent="0.3">
      <c r="A38" s="81" t="s">
        <v>114</v>
      </c>
      <c r="B38" s="94" t="s">
        <v>86</v>
      </c>
      <c r="C38" s="389"/>
      <c r="D38" s="389"/>
      <c r="E38" s="389"/>
      <c r="F38" s="389"/>
      <c r="G38" s="389">
        <v>97.6</v>
      </c>
      <c r="H38" s="389"/>
      <c r="I38" s="389"/>
      <c r="J38" s="389"/>
      <c r="K38" s="389"/>
      <c r="L38" s="389">
        <v>28</v>
      </c>
      <c r="M38" s="389"/>
      <c r="N38" s="389"/>
      <c r="O38" s="389"/>
      <c r="P38" s="389"/>
      <c r="Q38" s="389"/>
      <c r="R38" s="389">
        <v>1</v>
      </c>
      <c r="S38" s="389"/>
      <c r="T38" s="389">
        <v>14.4</v>
      </c>
      <c r="U38" s="389"/>
      <c r="V38" s="389">
        <v>30</v>
      </c>
      <c r="W38" s="389"/>
      <c r="X38" s="389"/>
      <c r="Y38" s="389"/>
      <c r="Z38" s="389"/>
      <c r="AA38" s="389"/>
      <c r="AB38" s="389"/>
      <c r="AC38" s="389"/>
      <c r="AD38" s="389"/>
      <c r="AE38" s="389"/>
      <c r="AF38" s="389"/>
      <c r="AG38" s="389"/>
      <c r="AH38" s="112">
        <f t="shared" si="6"/>
        <v>171</v>
      </c>
      <c r="AJ38" s="129" t="s">
        <v>114</v>
      </c>
      <c r="AK38" s="130" t="s">
        <v>163</v>
      </c>
      <c r="AL38" s="270">
        <f>AH38</f>
        <v>171</v>
      </c>
      <c r="AM38" s="271"/>
    </row>
    <row r="39" spans="1:40" ht="16.5" thickBot="1" x14ac:dyDescent="0.3">
      <c r="A39" s="202"/>
      <c r="B39" s="193" t="s">
        <v>66</v>
      </c>
      <c r="C39" s="107">
        <f t="shared" ref="C39:AG39" si="7">SUM(C33:C38)</f>
        <v>305</v>
      </c>
      <c r="D39" s="107">
        <f t="shared" si="7"/>
        <v>1127.45</v>
      </c>
      <c r="E39" s="107">
        <f t="shared" si="7"/>
        <v>2322.4</v>
      </c>
      <c r="F39" s="107">
        <f t="shared" si="7"/>
        <v>2964.9500000000003</v>
      </c>
      <c r="G39" s="107">
        <f t="shared" si="7"/>
        <v>5768.3600000000006</v>
      </c>
      <c r="H39" s="107">
        <f t="shared" si="7"/>
        <v>3378.55</v>
      </c>
      <c r="I39" s="107">
        <f t="shared" si="7"/>
        <v>1785.6999999999998</v>
      </c>
      <c r="J39" s="107">
        <f t="shared" si="7"/>
        <v>390</v>
      </c>
      <c r="K39" s="107">
        <f t="shared" si="7"/>
        <v>1837.15</v>
      </c>
      <c r="L39" s="107">
        <f>SUM(L33:L38)</f>
        <v>2130.73</v>
      </c>
      <c r="M39" s="107">
        <f t="shared" si="7"/>
        <v>3378.5</v>
      </c>
      <c r="N39" s="107">
        <f t="shared" si="7"/>
        <v>6304.94</v>
      </c>
      <c r="O39" s="107">
        <f>SUM(O33:O38)</f>
        <v>2688.8</v>
      </c>
      <c r="P39" s="107">
        <f t="shared" si="7"/>
        <v>2179.83</v>
      </c>
      <c r="Q39" s="107">
        <f t="shared" si="7"/>
        <v>0</v>
      </c>
      <c r="R39" s="107">
        <f t="shared" si="7"/>
        <v>1977.2</v>
      </c>
      <c r="S39" s="107">
        <f t="shared" si="7"/>
        <v>1140.3600000000001</v>
      </c>
      <c r="T39" s="107">
        <f t="shared" si="7"/>
        <v>3392.08</v>
      </c>
      <c r="U39" s="107">
        <f t="shared" si="7"/>
        <v>12554.41</v>
      </c>
      <c r="V39" s="107">
        <f t="shared" si="7"/>
        <v>9031.75</v>
      </c>
      <c r="W39" s="107">
        <f t="shared" si="7"/>
        <v>2968.55</v>
      </c>
      <c r="X39" s="107">
        <f t="shared" si="7"/>
        <v>0</v>
      </c>
      <c r="Y39" s="107">
        <f t="shared" si="7"/>
        <v>963.77</v>
      </c>
      <c r="Z39" s="107">
        <f t="shared" si="7"/>
        <v>1944.69</v>
      </c>
      <c r="AA39" s="107">
        <f t="shared" si="7"/>
        <v>3552.92</v>
      </c>
      <c r="AB39" s="107">
        <f t="shared" si="7"/>
        <v>6315.83</v>
      </c>
      <c r="AC39" s="107">
        <f t="shared" si="7"/>
        <v>3812.8100000000004</v>
      </c>
      <c r="AD39" s="107">
        <f t="shared" si="7"/>
        <v>1781.47</v>
      </c>
      <c r="AE39" s="107">
        <f t="shared" si="7"/>
        <v>0</v>
      </c>
      <c r="AF39" s="107">
        <f t="shared" si="7"/>
        <v>0</v>
      </c>
      <c r="AG39" s="107">
        <f t="shared" si="7"/>
        <v>0</v>
      </c>
      <c r="AH39" s="110">
        <f>SUM(C39:AG39)</f>
        <v>85998.200000000012</v>
      </c>
      <c r="AI39" s="59"/>
      <c r="AJ39" s="464" t="s">
        <v>77</v>
      </c>
      <c r="AK39" s="465"/>
      <c r="AL39" s="466">
        <f>SUM(AL33:AM38)</f>
        <v>83862.409999999989</v>
      </c>
      <c r="AM39" s="467"/>
      <c r="AN39" s="274">
        <f>AL39-AH39+AL45+AM45</f>
        <v>-2.262368070660159E-11</v>
      </c>
    </row>
    <row r="40" spans="1:40" x14ac:dyDescent="0.25">
      <c r="A40" s="203"/>
      <c r="B40" s="194" t="s">
        <v>109</v>
      </c>
      <c r="C40" s="72">
        <f>C30</f>
        <v>305</v>
      </c>
      <c r="D40" s="72">
        <f t="shared" ref="D40:AG40" si="8">D30</f>
        <v>1132.45</v>
      </c>
      <c r="E40" s="72">
        <f t="shared" si="8"/>
        <v>2332.4</v>
      </c>
      <c r="F40" s="72">
        <f t="shared" si="8"/>
        <v>2964.95</v>
      </c>
      <c r="G40" s="72">
        <f t="shared" si="8"/>
        <v>5768.36</v>
      </c>
      <c r="H40" s="72">
        <f t="shared" si="8"/>
        <v>3378.05</v>
      </c>
      <c r="I40" s="72">
        <f t="shared" si="8"/>
        <v>1785.7</v>
      </c>
      <c r="J40" s="72">
        <f t="shared" ref="J40:O40" si="9">J30</f>
        <v>390</v>
      </c>
      <c r="K40" s="72">
        <f t="shared" si="9"/>
        <v>1830.9</v>
      </c>
      <c r="L40" s="72">
        <f t="shared" si="9"/>
        <v>2130.73</v>
      </c>
      <c r="M40" s="72">
        <f t="shared" si="9"/>
        <v>3379.49</v>
      </c>
      <c r="N40" s="72">
        <f t="shared" si="9"/>
        <v>6304.74</v>
      </c>
      <c r="O40" s="72">
        <f t="shared" si="9"/>
        <v>2686.75</v>
      </c>
      <c r="P40" s="72">
        <f t="shared" si="8"/>
        <v>2175.27</v>
      </c>
      <c r="Q40" s="72">
        <f t="shared" si="8"/>
        <v>0</v>
      </c>
      <c r="R40" s="72">
        <f t="shared" si="8"/>
        <v>1977.2</v>
      </c>
      <c r="S40" s="72">
        <f t="shared" si="8"/>
        <v>1140.3599999999999</v>
      </c>
      <c r="T40" s="72">
        <f t="shared" si="8"/>
        <v>3392.08</v>
      </c>
      <c r="U40" s="72">
        <f t="shared" si="8"/>
        <v>12554.41</v>
      </c>
      <c r="V40" s="72">
        <f t="shared" si="8"/>
        <v>9055.7199999999993</v>
      </c>
      <c r="W40" s="72">
        <f t="shared" si="8"/>
        <v>2968.54</v>
      </c>
      <c r="X40" s="72">
        <f t="shared" si="8"/>
        <v>0</v>
      </c>
      <c r="Y40" s="72">
        <f t="shared" si="8"/>
        <v>963.87</v>
      </c>
      <c r="Z40" s="72">
        <f t="shared" si="8"/>
        <v>1944.69</v>
      </c>
      <c r="AA40" s="72">
        <f t="shared" si="8"/>
        <v>3552.92</v>
      </c>
      <c r="AB40" s="72">
        <f t="shared" si="8"/>
        <v>6315.83</v>
      </c>
      <c r="AC40" s="72">
        <f t="shared" si="8"/>
        <v>3812.78</v>
      </c>
      <c r="AD40" s="72">
        <f t="shared" si="8"/>
        <v>1781.47</v>
      </c>
      <c r="AE40" s="72">
        <f t="shared" si="8"/>
        <v>0</v>
      </c>
      <c r="AF40" s="72">
        <f t="shared" si="8"/>
        <v>0</v>
      </c>
      <c r="AG40" s="72">
        <f t="shared" si="8"/>
        <v>0</v>
      </c>
      <c r="AH40" s="111">
        <f t="shared" ref="AH40:AH41" si="10">SUM(C40:AG40)</f>
        <v>86024.659999999989</v>
      </c>
      <c r="AJ40" s="59"/>
      <c r="AK40" s="59"/>
    </row>
    <row r="41" spans="1:40" ht="16.5" thickBot="1" x14ac:dyDescent="0.3">
      <c r="A41" s="204"/>
      <c r="B41" s="104" t="s">
        <v>107</v>
      </c>
      <c r="C41" s="133">
        <f>C39-C40</f>
        <v>0</v>
      </c>
      <c r="D41" s="133">
        <f>D39-D40</f>
        <v>-5</v>
      </c>
      <c r="E41" s="133">
        <f>E39-E40</f>
        <v>-10</v>
      </c>
      <c r="F41" s="133">
        <f t="shared" ref="F41:AG41" si="11">F39-F40</f>
        <v>0</v>
      </c>
      <c r="G41" s="133">
        <f t="shared" si="11"/>
        <v>0</v>
      </c>
      <c r="H41" s="133">
        <f t="shared" si="11"/>
        <v>0.5</v>
      </c>
      <c r="I41" s="133">
        <f t="shared" si="11"/>
        <v>0</v>
      </c>
      <c r="J41" s="133">
        <f t="shared" si="11"/>
        <v>0</v>
      </c>
      <c r="K41" s="133">
        <f t="shared" si="11"/>
        <v>6.25</v>
      </c>
      <c r="L41" s="133">
        <v>0</v>
      </c>
      <c r="M41" s="133">
        <f t="shared" si="11"/>
        <v>-0.98999999999978172</v>
      </c>
      <c r="N41" s="133">
        <f t="shared" si="11"/>
        <v>0.1999999999998181</v>
      </c>
      <c r="O41" s="133">
        <f t="shared" si="11"/>
        <v>2.0500000000001819</v>
      </c>
      <c r="P41" s="133">
        <f t="shared" si="11"/>
        <v>4.5599999999999454</v>
      </c>
      <c r="Q41" s="133">
        <f t="shared" si="11"/>
        <v>0</v>
      </c>
      <c r="R41" s="133">
        <f t="shared" si="11"/>
        <v>0</v>
      </c>
      <c r="S41" s="133">
        <f t="shared" si="11"/>
        <v>0</v>
      </c>
      <c r="T41" s="133">
        <f t="shared" si="11"/>
        <v>0</v>
      </c>
      <c r="U41" s="133">
        <f t="shared" si="11"/>
        <v>0</v>
      </c>
      <c r="V41" s="133">
        <f t="shared" si="11"/>
        <v>-23.969999999999345</v>
      </c>
      <c r="W41" s="133">
        <f t="shared" si="11"/>
        <v>1.0000000000218279E-2</v>
      </c>
      <c r="X41" s="133">
        <f t="shared" si="11"/>
        <v>0</v>
      </c>
      <c r="Y41" s="133">
        <f t="shared" si="11"/>
        <v>-0.10000000000002274</v>
      </c>
      <c r="Z41" s="133">
        <f t="shared" si="11"/>
        <v>0</v>
      </c>
      <c r="AA41" s="133">
        <f t="shared" si="11"/>
        <v>0</v>
      </c>
      <c r="AB41" s="133">
        <f t="shared" si="11"/>
        <v>0</v>
      </c>
      <c r="AC41" s="133">
        <f t="shared" si="11"/>
        <v>3.0000000000200089E-2</v>
      </c>
      <c r="AD41" s="133">
        <f t="shared" si="11"/>
        <v>0</v>
      </c>
      <c r="AE41" s="133">
        <f t="shared" si="11"/>
        <v>0</v>
      </c>
      <c r="AF41" s="133">
        <f t="shared" si="11"/>
        <v>0</v>
      </c>
      <c r="AG41" s="133">
        <f t="shared" si="11"/>
        <v>0</v>
      </c>
      <c r="AH41" s="112">
        <f t="shared" si="10"/>
        <v>-26.459999999998786</v>
      </c>
      <c r="AJ41" s="383">
        <f>AH39-AH40</f>
        <v>-26.459999999977299</v>
      </c>
      <c r="AK41" s="269"/>
      <c r="AL41" s="99"/>
    </row>
    <row r="42" spans="1:40" s="102" customFormat="1" ht="16.5" thickBot="1" x14ac:dyDescent="0.3">
      <c r="A42" s="225"/>
      <c r="B42" s="226"/>
      <c r="C42" s="226"/>
      <c r="D42" s="226"/>
      <c r="E42" s="226"/>
      <c r="F42" s="226"/>
      <c r="G42" s="226"/>
      <c r="H42" s="226"/>
      <c r="I42" s="226"/>
      <c r="J42" s="226"/>
      <c r="K42" s="226"/>
      <c r="L42" s="226"/>
      <c r="M42" s="226"/>
      <c r="N42" s="226"/>
      <c r="O42" s="226"/>
      <c r="P42" s="226"/>
      <c r="Q42" s="226"/>
      <c r="R42" s="226"/>
      <c r="S42" s="226"/>
      <c r="T42" s="226"/>
      <c r="U42" s="226"/>
      <c r="V42" s="226"/>
      <c r="W42" s="226"/>
      <c r="X42" s="226"/>
      <c r="Y42" s="226"/>
      <c r="Z42" s="226"/>
      <c r="AA42" s="226"/>
      <c r="AB42" s="226"/>
      <c r="AC42" s="226"/>
      <c r="AD42" s="226"/>
      <c r="AE42" s="226"/>
      <c r="AF42" s="226"/>
      <c r="AG42" s="226"/>
      <c r="AH42" s="227"/>
      <c r="AI42" s="62"/>
      <c r="AJ42" s="225"/>
      <c r="AK42" s="226"/>
      <c r="AL42" s="99"/>
    </row>
    <row r="43" spans="1:40" s="99" customFormat="1" ht="16.5" thickBot="1" x14ac:dyDescent="0.3">
      <c r="A43" s="100"/>
      <c r="B43" s="101" t="s">
        <v>56</v>
      </c>
      <c r="C43" s="114">
        <f t="shared" ref="C43:AG43" si="12">SUM(C3:C28)-SUM(C33:C38)</f>
        <v>0</v>
      </c>
      <c r="D43" s="114">
        <f t="shared" si="12"/>
        <v>5</v>
      </c>
      <c r="E43" s="114">
        <f t="shared" si="12"/>
        <v>10</v>
      </c>
      <c r="F43" s="114">
        <f t="shared" si="12"/>
        <v>0</v>
      </c>
      <c r="G43" s="114">
        <f t="shared" si="12"/>
        <v>0</v>
      </c>
      <c r="H43" s="114">
        <f t="shared" si="12"/>
        <v>-0.5</v>
      </c>
      <c r="I43" s="114">
        <f t="shared" si="12"/>
        <v>0</v>
      </c>
      <c r="J43" s="114">
        <f t="shared" si="12"/>
        <v>0</v>
      </c>
      <c r="K43" s="114">
        <f t="shared" si="12"/>
        <v>-6.25</v>
      </c>
      <c r="L43" s="114">
        <f t="shared" si="12"/>
        <v>0</v>
      </c>
      <c r="M43" s="114">
        <f t="shared" si="12"/>
        <v>0.99000000000023647</v>
      </c>
      <c r="N43" s="114">
        <f t="shared" si="12"/>
        <v>-0.1999999999998181</v>
      </c>
      <c r="O43" s="114">
        <f>SUM(O3:O28)-SUM(O33:O38)</f>
        <v>-2.0499999999997272</v>
      </c>
      <c r="P43" s="114">
        <f t="shared" si="12"/>
        <v>-4.5599999999999454</v>
      </c>
      <c r="Q43" s="114">
        <f t="shared" si="12"/>
        <v>0</v>
      </c>
      <c r="R43" s="114">
        <f t="shared" si="12"/>
        <v>0</v>
      </c>
      <c r="S43" s="114">
        <f t="shared" si="12"/>
        <v>0</v>
      </c>
      <c r="T43" s="114">
        <f t="shared" si="12"/>
        <v>0</v>
      </c>
      <c r="U43" s="114">
        <f t="shared" si="12"/>
        <v>0</v>
      </c>
      <c r="V43" s="114">
        <f t="shared" si="12"/>
        <v>23.970000000001164</v>
      </c>
      <c r="W43" s="114">
        <f t="shared" si="12"/>
        <v>-1.0000000000673026E-2</v>
      </c>
      <c r="X43" s="114">
        <f t="shared" si="12"/>
        <v>0</v>
      </c>
      <c r="Y43" s="114">
        <f t="shared" si="12"/>
        <v>0.10000000000013642</v>
      </c>
      <c r="Z43" s="114">
        <f t="shared" si="12"/>
        <v>0</v>
      </c>
      <c r="AA43" s="114">
        <f t="shared" si="12"/>
        <v>0</v>
      </c>
      <c r="AB43" s="114">
        <f t="shared" si="12"/>
        <v>0</v>
      </c>
      <c r="AC43" s="114">
        <f t="shared" si="12"/>
        <v>-3.0000000000200089E-2</v>
      </c>
      <c r="AD43" s="114">
        <f t="shared" si="12"/>
        <v>0</v>
      </c>
      <c r="AE43" s="114">
        <f t="shared" si="12"/>
        <v>0</v>
      </c>
      <c r="AF43" s="114">
        <f t="shared" si="12"/>
        <v>0</v>
      </c>
      <c r="AG43" s="114">
        <f t="shared" si="12"/>
        <v>0</v>
      </c>
      <c r="AH43" s="115">
        <f>SUM(C43:AG43)</f>
        <v>26.460000000001173</v>
      </c>
      <c r="AI43" s="62"/>
      <c r="AJ43" s="212" t="s">
        <v>32</v>
      </c>
      <c r="AK43" s="213" t="s">
        <v>94</v>
      </c>
      <c r="AL43" s="272">
        <f>AH43</f>
        <v>26.460000000001173</v>
      </c>
      <c r="AM43" s="273"/>
      <c r="AN43" s="275" t="s">
        <v>133</v>
      </c>
    </row>
    <row r="44" spans="1:40" s="102" customFormat="1" ht="16.5" thickBot="1" x14ac:dyDescent="0.3">
      <c r="A44" s="225"/>
      <c r="B44" s="226"/>
      <c r="C44" s="226"/>
      <c r="D44" s="226"/>
      <c r="E44" s="226"/>
      <c r="F44" s="226"/>
      <c r="G44" s="226"/>
      <c r="H44" s="226"/>
      <c r="I44" s="226"/>
      <c r="J44" s="226"/>
      <c r="K44" s="226"/>
      <c r="L44" s="226"/>
      <c r="M44" s="226"/>
      <c r="N44" s="226"/>
      <c r="O44" s="226"/>
      <c r="P44" s="226"/>
      <c r="Q44" s="226"/>
      <c r="R44" s="226"/>
      <c r="S44" s="226"/>
      <c r="T44" s="226"/>
      <c r="U44" s="226"/>
      <c r="V44" s="226"/>
      <c r="W44" s="226"/>
      <c r="X44" s="226"/>
      <c r="Y44" s="226"/>
      <c r="Z44" s="226"/>
      <c r="AA44" s="226"/>
      <c r="AB44" s="226"/>
      <c r="AC44" s="226"/>
      <c r="AD44" s="226"/>
      <c r="AE44" s="226"/>
      <c r="AF44" s="226"/>
      <c r="AG44" s="226"/>
      <c r="AH44" s="227"/>
      <c r="AI44" s="62"/>
      <c r="AJ44" s="225"/>
      <c r="AK44" s="226"/>
      <c r="AL44" s="99"/>
      <c r="AM44" s="102">
        <f>AL39+AL43+AM43+AL45+AM45</f>
        <v>86024.659999999989</v>
      </c>
      <c r="AN44" s="102">
        <f>AM44-AH29</f>
        <v>0</v>
      </c>
    </row>
    <row r="45" spans="1:40" s="99" customFormat="1" ht="16.5" thickBot="1" x14ac:dyDescent="0.3">
      <c r="A45" s="212" t="s">
        <v>210</v>
      </c>
      <c r="B45" s="101" t="s">
        <v>209</v>
      </c>
      <c r="C45" s="457">
        <v>6.45</v>
      </c>
      <c r="D45" s="457">
        <v>23.01</v>
      </c>
      <c r="E45" s="457">
        <v>56.44</v>
      </c>
      <c r="F45" s="457">
        <v>76.239999999999995</v>
      </c>
      <c r="G45" s="457">
        <v>140.97</v>
      </c>
      <c r="H45" s="457">
        <v>83.01</v>
      </c>
      <c r="I45" s="457">
        <v>38.75</v>
      </c>
      <c r="J45" s="457">
        <v>11.7</v>
      </c>
      <c r="K45" s="457">
        <v>45.79</v>
      </c>
      <c r="L45" s="457">
        <v>46.23</v>
      </c>
      <c r="M45" s="457">
        <v>88.22</v>
      </c>
      <c r="N45" s="457">
        <v>157.66</v>
      </c>
      <c r="O45" s="457">
        <v>63.98</v>
      </c>
      <c r="P45" s="457">
        <v>52.5</v>
      </c>
      <c r="Q45" s="457"/>
      <c r="R45" s="457">
        <v>46.86</v>
      </c>
      <c r="S45" s="457">
        <v>19.510000000000002</v>
      </c>
      <c r="T45" s="457">
        <v>84.91</v>
      </c>
      <c r="U45" s="457">
        <v>308.75</v>
      </c>
      <c r="V45" s="457">
        <v>236.67</v>
      </c>
      <c r="W45" s="457">
        <v>76.63</v>
      </c>
      <c r="X45" s="457"/>
      <c r="Y45" s="457">
        <v>24.2</v>
      </c>
      <c r="Z45" s="457">
        <v>53.43</v>
      </c>
      <c r="AA45" s="457">
        <v>92.35</v>
      </c>
      <c r="AB45" s="457">
        <v>155.69999999999999</v>
      </c>
      <c r="AC45" s="457">
        <v>100.69</v>
      </c>
      <c r="AD45" s="457">
        <v>45.14</v>
      </c>
      <c r="AE45" s="213"/>
      <c r="AF45" s="213"/>
      <c r="AG45" s="282"/>
      <c r="AH45" s="115">
        <f t="shared" ref="AH45" si="13">SUM(C45:AG45)</f>
        <v>2135.79</v>
      </c>
      <c r="AI45" s="62"/>
      <c r="AJ45" s="212" t="s">
        <v>210</v>
      </c>
      <c r="AK45" s="213" t="s">
        <v>211</v>
      </c>
      <c r="AL45" s="272">
        <f>SUM(C45:V45)</f>
        <v>1587.65</v>
      </c>
      <c r="AM45" s="273">
        <f>SUM(W45:AG45)</f>
        <v>548.14</v>
      </c>
      <c r="AN45" s="275"/>
    </row>
    <row r="46" spans="1:40" s="102" customFormat="1" ht="16.5" thickBot="1" x14ac:dyDescent="0.3">
      <c r="A46" s="225"/>
      <c r="B46" s="226"/>
      <c r="C46" s="226"/>
      <c r="D46" s="226"/>
      <c r="E46" s="226"/>
      <c r="F46" s="226"/>
      <c r="G46" s="226"/>
      <c r="H46" s="226"/>
      <c r="I46" s="226"/>
      <c r="J46" s="226"/>
      <c r="K46" s="226"/>
      <c r="L46" s="226"/>
      <c r="M46" s="226"/>
      <c r="N46" s="226"/>
      <c r="O46" s="226"/>
      <c r="P46" s="226"/>
      <c r="Q46" s="226"/>
      <c r="R46" s="226"/>
      <c r="S46" s="226"/>
      <c r="T46" s="226"/>
      <c r="U46" s="226"/>
      <c r="V46" s="226"/>
      <c r="W46" s="226"/>
      <c r="X46" s="226"/>
      <c r="Y46" s="226"/>
      <c r="Z46" s="226"/>
      <c r="AA46" s="226"/>
      <c r="AB46" s="226"/>
      <c r="AC46" s="226"/>
      <c r="AD46" s="226"/>
      <c r="AE46" s="226"/>
      <c r="AF46" s="226"/>
      <c r="AG46" s="226"/>
      <c r="AH46" s="227"/>
      <c r="AI46" s="62"/>
      <c r="AJ46" s="225"/>
      <c r="AK46" s="226"/>
      <c r="AL46" s="99"/>
    </row>
    <row r="47" spans="1:40" x14ac:dyDescent="0.25">
      <c r="A47" s="126"/>
      <c r="B47" s="214" t="s">
        <v>57</v>
      </c>
      <c r="C47" s="84">
        <v>0</v>
      </c>
      <c r="D47" s="84">
        <v>54</v>
      </c>
      <c r="E47" s="84">
        <v>94</v>
      </c>
      <c r="F47" s="84">
        <v>179</v>
      </c>
      <c r="G47" s="84">
        <v>389</v>
      </c>
      <c r="H47" s="84">
        <v>209</v>
      </c>
      <c r="I47" s="84">
        <v>105</v>
      </c>
      <c r="J47" s="84">
        <v>0</v>
      </c>
      <c r="K47" s="84">
        <v>78</v>
      </c>
      <c r="L47" s="84">
        <v>77</v>
      </c>
      <c r="M47" s="84">
        <v>145</v>
      </c>
      <c r="N47" s="84">
        <v>402</v>
      </c>
      <c r="O47" s="84">
        <v>187</v>
      </c>
      <c r="P47" s="84">
        <v>108</v>
      </c>
      <c r="Q47" s="84">
        <v>0</v>
      </c>
      <c r="R47" s="84">
        <v>136</v>
      </c>
      <c r="S47" s="84">
        <v>92</v>
      </c>
      <c r="T47" s="84">
        <v>192</v>
      </c>
      <c r="U47" s="84">
        <v>705</v>
      </c>
      <c r="V47" s="84">
        <v>494</v>
      </c>
      <c r="W47" s="84">
        <v>221</v>
      </c>
      <c r="X47" s="84">
        <v>0</v>
      </c>
      <c r="Y47" s="84">
        <v>78</v>
      </c>
      <c r="Z47" s="84">
        <v>73</v>
      </c>
      <c r="AA47" s="84">
        <v>201</v>
      </c>
      <c r="AB47" s="84">
        <v>452</v>
      </c>
      <c r="AC47" s="84">
        <v>280</v>
      </c>
      <c r="AD47" s="84">
        <v>96</v>
      </c>
      <c r="AE47" s="84"/>
      <c r="AF47" s="84"/>
      <c r="AG47" s="84"/>
      <c r="AH47" s="103">
        <f>SUM(C47:AG47)</f>
        <v>5047</v>
      </c>
      <c r="AJ47" s="126">
        <f>AH47</f>
        <v>5047</v>
      </c>
      <c r="AK47" s="219" t="s">
        <v>57</v>
      </c>
      <c r="AL47" s="102"/>
      <c r="AM47" s="102"/>
      <c r="AN47" s="102"/>
    </row>
    <row r="48" spans="1:40" ht="16.5" thickBot="1" x14ac:dyDescent="0.3">
      <c r="A48" s="135"/>
      <c r="B48" s="215" t="s">
        <v>58</v>
      </c>
      <c r="C48" s="94">
        <v>1</v>
      </c>
      <c r="D48" s="94">
        <v>43</v>
      </c>
      <c r="E48" s="94">
        <v>40</v>
      </c>
      <c r="F48" s="94">
        <v>51</v>
      </c>
      <c r="G48" s="94">
        <v>117</v>
      </c>
      <c r="H48" s="94">
        <v>76</v>
      </c>
      <c r="I48" s="94">
        <v>64</v>
      </c>
      <c r="J48" s="94">
        <v>0</v>
      </c>
      <c r="K48" s="94">
        <v>47</v>
      </c>
      <c r="L48" s="94">
        <v>57</v>
      </c>
      <c r="M48" s="94">
        <v>92</v>
      </c>
      <c r="N48" s="94">
        <v>116</v>
      </c>
      <c r="O48" s="94">
        <v>49</v>
      </c>
      <c r="P48" s="94">
        <v>62</v>
      </c>
      <c r="Q48" s="94">
        <v>0</v>
      </c>
      <c r="R48" s="94">
        <v>45</v>
      </c>
      <c r="S48" s="94">
        <v>55</v>
      </c>
      <c r="T48" s="94">
        <v>73</v>
      </c>
      <c r="U48" s="94">
        <v>123</v>
      </c>
      <c r="V48" s="94">
        <v>135</v>
      </c>
      <c r="W48" s="94">
        <v>41</v>
      </c>
      <c r="X48" s="94">
        <v>0</v>
      </c>
      <c r="Y48" s="94">
        <v>32</v>
      </c>
      <c r="Z48" s="94">
        <v>35</v>
      </c>
      <c r="AA48" s="94">
        <v>69</v>
      </c>
      <c r="AB48" s="94">
        <v>79</v>
      </c>
      <c r="AC48" s="94">
        <v>72</v>
      </c>
      <c r="AD48" s="94">
        <v>39</v>
      </c>
      <c r="AE48" s="94"/>
      <c r="AF48" s="94"/>
      <c r="AG48" s="94"/>
      <c r="AH48" s="105">
        <f>SUM(C48:AG48)</f>
        <v>1613</v>
      </c>
      <c r="AJ48" s="135">
        <f>AH48</f>
        <v>1613</v>
      </c>
      <c r="AK48" s="220" t="s">
        <v>58</v>
      </c>
    </row>
    <row r="49" spans="1:37" ht="16.5" thickBot="1" x14ac:dyDescent="0.3">
      <c r="A49" s="224"/>
      <c r="B49" s="228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8"/>
      <c r="AJ49" s="224"/>
      <c r="AK49" s="228"/>
    </row>
    <row r="50" spans="1:37" ht="16.5" thickBot="1" x14ac:dyDescent="0.3">
      <c r="A50" s="212"/>
      <c r="B50" s="213" t="s">
        <v>111</v>
      </c>
      <c r="C50" s="213">
        <f>C47+C48</f>
        <v>1</v>
      </c>
      <c r="D50" s="213">
        <f t="shared" ref="D50:AG50" si="14">D47+D48</f>
        <v>97</v>
      </c>
      <c r="E50" s="213">
        <f t="shared" si="14"/>
        <v>134</v>
      </c>
      <c r="F50" s="213">
        <f t="shared" si="14"/>
        <v>230</v>
      </c>
      <c r="G50" s="213">
        <f t="shared" si="14"/>
        <v>506</v>
      </c>
      <c r="H50" s="213">
        <f t="shared" si="14"/>
        <v>285</v>
      </c>
      <c r="I50" s="213">
        <f t="shared" si="14"/>
        <v>169</v>
      </c>
      <c r="J50" s="213">
        <f t="shared" si="14"/>
        <v>0</v>
      </c>
      <c r="K50" s="213">
        <f t="shared" si="14"/>
        <v>125</v>
      </c>
      <c r="L50" s="213">
        <f t="shared" si="14"/>
        <v>134</v>
      </c>
      <c r="M50" s="213">
        <f t="shared" si="14"/>
        <v>237</v>
      </c>
      <c r="N50" s="213">
        <f t="shared" si="14"/>
        <v>518</v>
      </c>
      <c r="O50" s="213">
        <f t="shared" si="14"/>
        <v>236</v>
      </c>
      <c r="P50" s="213">
        <f t="shared" si="14"/>
        <v>170</v>
      </c>
      <c r="Q50" s="213">
        <f t="shared" si="14"/>
        <v>0</v>
      </c>
      <c r="R50" s="213">
        <f t="shared" si="14"/>
        <v>181</v>
      </c>
      <c r="S50" s="213">
        <f t="shared" si="14"/>
        <v>147</v>
      </c>
      <c r="T50" s="213">
        <f t="shared" si="14"/>
        <v>265</v>
      </c>
      <c r="U50" s="213">
        <f t="shared" si="14"/>
        <v>828</v>
      </c>
      <c r="V50" s="213">
        <f t="shared" si="14"/>
        <v>629</v>
      </c>
      <c r="W50" s="213">
        <f t="shared" si="14"/>
        <v>262</v>
      </c>
      <c r="X50" s="213">
        <f t="shared" si="14"/>
        <v>0</v>
      </c>
      <c r="Y50" s="213">
        <f t="shared" si="14"/>
        <v>110</v>
      </c>
      <c r="Z50" s="213">
        <f t="shared" si="14"/>
        <v>108</v>
      </c>
      <c r="AA50" s="213">
        <f t="shared" si="14"/>
        <v>270</v>
      </c>
      <c r="AB50" s="213">
        <f t="shared" si="14"/>
        <v>531</v>
      </c>
      <c r="AC50" s="213">
        <f t="shared" si="14"/>
        <v>352</v>
      </c>
      <c r="AD50" s="213">
        <f t="shared" si="14"/>
        <v>135</v>
      </c>
      <c r="AE50" s="213">
        <f t="shared" si="14"/>
        <v>0</v>
      </c>
      <c r="AF50" s="213">
        <f t="shared" si="14"/>
        <v>0</v>
      </c>
      <c r="AG50" s="282">
        <f t="shared" si="14"/>
        <v>0</v>
      </c>
      <c r="AH50" s="281">
        <f>SUM(C50:AG50)</f>
        <v>6660</v>
      </c>
      <c r="AJ50" s="212">
        <f>AH50</f>
        <v>6660</v>
      </c>
      <c r="AK50" s="221" t="s">
        <v>111</v>
      </c>
    </row>
    <row r="51" spans="1:37" ht="16.5" thickBot="1" x14ac:dyDescent="0.3">
      <c r="A51" s="225"/>
      <c r="B51" s="226"/>
      <c r="C51" s="226"/>
      <c r="D51" s="226"/>
      <c r="E51" s="226"/>
      <c r="F51" s="226"/>
      <c r="G51" s="226"/>
      <c r="H51" s="226"/>
      <c r="I51" s="226"/>
      <c r="J51" s="226"/>
      <c r="K51" s="226"/>
      <c r="L51" s="226"/>
      <c r="M51" s="226"/>
      <c r="N51" s="226"/>
      <c r="O51" s="226"/>
      <c r="P51" s="226"/>
      <c r="Q51" s="226"/>
      <c r="R51" s="226"/>
      <c r="S51" s="226"/>
      <c r="T51" s="226"/>
      <c r="U51" s="226"/>
      <c r="V51" s="226"/>
      <c r="W51" s="226"/>
      <c r="X51" s="226"/>
      <c r="Y51" s="226"/>
      <c r="Z51" s="226"/>
      <c r="AA51" s="226"/>
      <c r="AB51" s="226"/>
      <c r="AC51" s="226"/>
      <c r="AD51" s="226"/>
      <c r="AE51" s="226"/>
      <c r="AF51" s="226"/>
      <c r="AG51" s="226"/>
      <c r="AH51" s="227"/>
      <c r="AJ51" s="226"/>
      <c r="AK51" s="226"/>
    </row>
    <row r="52" spans="1:37" ht="16.5" thickBot="1" x14ac:dyDescent="0.3">
      <c r="A52" s="212"/>
      <c r="B52" s="213" t="s">
        <v>110</v>
      </c>
      <c r="C52" s="216">
        <f t="shared" ref="C52:AG52" si="15">IF(C50&lt;=1,0,IF(C50&gt;=0,(SUM(C4+C7+(C18*0.5))/C50)))</f>
        <v>0</v>
      </c>
      <c r="D52" s="216">
        <f>IF(D50&lt;=1,0,IF(D50&gt;=0,(SUM(D4+D7+(D18*0.5))/D50)))</f>
        <v>5.9546391752577321</v>
      </c>
      <c r="E52" s="216">
        <f t="shared" ref="E52:AD52" si="16">IF(E50&lt;=1,0,IF(E50&gt;=0,(SUM(E4+E7+(E18*0.5))/E50)))</f>
        <v>9.0925373134328371</v>
      </c>
      <c r="F52" s="216">
        <f t="shared" si="16"/>
        <v>9.7634782608695652</v>
      </c>
      <c r="G52" s="216">
        <f t="shared" si="16"/>
        <v>9.4047430830039538</v>
      </c>
      <c r="H52" s="216">
        <f t="shared" si="16"/>
        <v>8.8421052631578956</v>
      </c>
      <c r="I52" s="216">
        <f t="shared" si="16"/>
        <v>7.8011834319526621</v>
      </c>
      <c r="J52" s="216">
        <f t="shared" si="16"/>
        <v>0</v>
      </c>
      <c r="K52" s="216">
        <f t="shared" si="16"/>
        <v>8.0128000000000004</v>
      </c>
      <c r="L52" s="216">
        <f t="shared" si="16"/>
        <v>9.0447761194029859</v>
      </c>
      <c r="M52" s="216">
        <f t="shared" si="16"/>
        <v>9.7232067510548532</v>
      </c>
      <c r="N52" s="216">
        <f t="shared" si="16"/>
        <v>9.3281853281853273</v>
      </c>
      <c r="O52" s="216">
        <f t="shared" si="16"/>
        <v>10.061016949152544</v>
      </c>
      <c r="P52" s="216">
        <f t="shared" si="16"/>
        <v>7.6894117647058824</v>
      </c>
      <c r="Q52" s="216">
        <f t="shared" si="16"/>
        <v>0</v>
      </c>
      <c r="R52" s="216">
        <f t="shared" si="16"/>
        <v>9.1049723756906076</v>
      </c>
      <c r="S52" s="216">
        <f t="shared" si="16"/>
        <v>6.9006802721088434</v>
      </c>
      <c r="T52" s="216">
        <f t="shared" si="16"/>
        <v>9.0867924528301884</v>
      </c>
      <c r="U52" s="216">
        <f t="shared" si="16"/>
        <v>12.410144927536232</v>
      </c>
      <c r="V52" s="216">
        <f t="shared" si="16"/>
        <v>11.843561208267092</v>
      </c>
      <c r="W52" s="216">
        <f t="shared" si="16"/>
        <v>9.462595419847327</v>
      </c>
      <c r="X52" s="216">
        <f t="shared" si="16"/>
        <v>0</v>
      </c>
      <c r="Y52" s="216">
        <f t="shared" si="16"/>
        <v>7.874545454545455</v>
      </c>
      <c r="Z52" s="216">
        <f t="shared" si="16"/>
        <v>8.8518518518518512</v>
      </c>
      <c r="AA52" s="216">
        <f t="shared" si="16"/>
        <v>10.472592592592592</v>
      </c>
      <c r="AB52" s="216">
        <f t="shared" si="16"/>
        <v>10.458757062146894</v>
      </c>
      <c r="AC52" s="216">
        <f t="shared" si="16"/>
        <v>9.65</v>
      </c>
      <c r="AD52" s="216">
        <f t="shared" si="16"/>
        <v>7.7629629629629626</v>
      </c>
      <c r="AE52" s="216">
        <f t="shared" si="15"/>
        <v>0</v>
      </c>
      <c r="AF52" s="216">
        <f t="shared" si="15"/>
        <v>0</v>
      </c>
      <c r="AG52" s="216">
        <f t="shared" si="15"/>
        <v>0</v>
      </c>
      <c r="AH52" s="281">
        <f>IFERROR(AVERAGEIF(C52:AG52, "&lt;&gt;0"),)</f>
        <v>9.1082308341898468</v>
      </c>
      <c r="AJ52" s="222">
        <f>AH52</f>
        <v>9.1082308341898468</v>
      </c>
      <c r="AK52" s="223" t="s">
        <v>112</v>
      </c>
    </row>
    <row r="53" spans="1:37" ht="16.5" thickBot="1" x14ac:dyDescent="0.3"/>
    <row r="54" spans="1:37" ht="16.5" thickBot="1" x14ac:dyDescent="0.3">
      <c r="A54" s="212"/>
      <c r="B54" s="213" t="s">
        <v>124</v>
      </c>
      <c r="C54" s="243">
        <f t="shared" ref="C54:AG54" si="17">IF(C47&lt;=1,0,IF(C47&gt;=0,(SUM(C4+C7+(C18*0.5))/C47)))</f>
        <v>0</v>
      </c>
      <c r="D54" s="243">
        <f>IF(D47&lt;=1,0,IF(D47&gt;=0,(SUM(D4+D7+(D18*0.5))/D47)))</f>
        <v>10.696296296296296</v>
      </c>
      <c r="E54" s="243">
        <f t="shared" ref="E54:AD54" si="18">IF(E47&lt;=1,0,IF(E47&gt;=0,(SUM(E4+E7+(E18*0.5))/E47)))</f>
        <v>12.961702127659576</v>
      </c>
      <c r="F54" s="243">
        <f t="shared" si="18"/>
        <v>12.545251396648045</v>
      </c>
      <c r="G54" s="243">
        <f t="shared" si="18"/>
        <v>12.233419023136248</v>
      </c>
      <c r="H54" s="243">
        <f t="shared" si="18"/>
        <v>12.057416267942584</v>
      </c>
      <c r="I54" s="243">
        <f t="shared" si="18"/>
        <v>12.556190476190475</v>
      </c>
      <c r="J54" s="243">
        <f t="shared" si="18"/>
        <v>0</v>
      </c>
      <c r="K54" s="243">
        <f t="shared" si="18"/>
        <v>12.841025641025642</v>
      </c>
      <c r="L54" s="243">
        <f t="shared" si="18"/>
        <v>15.74025974025974</v>
      </c>
      <c r="M54" s="243">
        <f t="shared" si="18"/>
        <v>15.892413793103449</v>
      </c>
      <c r="N54" s="243">
        <f t="shared" si="18"/>
        <v>12.019900497512438</v>
      </c>
      <c r="O54" s="243">
        <f t="shared" si="18"/>
        <v>12.697326203208556</v>
      </c>
      <c r="P54" s="243">
        <f t="shared" si="18"/>
        <v>12.103703703703705</v>
      </c>
      <c r="Q54" s="243">
        <f t="shared" si="18"/>
        <v>0</v>
      </c>
      <c r="R54" s="243">
        <f t="shared" si="18"/>
        <v>12.117647058823529</v>
      </c>
      <c r="S54" s="243">
        <f t="shared" si="18"/>
        <v>11.026086956521739</v>
      </c>
      <c r="T54" s="243">
        <f t="shared" si="18"/>
        <v>12.541666666666666</v>
      </c>
      <c r="U54" s="243">
        <f t="shared" si="18"/>
        <v>14.57531914893617</v>
      </c>
      <c r="V54" s="243">
        <f t="shared" si="18"/>
        <v>15.080161943319839</v>
      </c>
      <c r="W54" s="243">
        <f t="shared" si="18"/>
        <v>11.218099547511311</v>
      </c>
      <c r="X54" s="243">
        <f t="shared" si="18"/>
        <v>0</v>
      </c>
      <c r="Y54" s="243">
        <f t="shared" si="18"/>
        <v>11.105128205128207</v>
      </c>
      <c r="Z54" s="243">
        <f t="shared" si="18"/>
        <v>13.095890410958905</v>
      </c>
      <c r="AA54" s="243">
        <f t="shared" si="18"/>
        <v>14.067661691542288</v>
      </c>
      <c r="AB54" s="243">
        <f t="shared" si="18"/>
        <v>12.286725663716815</v>
      </c>
      <c r="AC54" s="243">
        <f t="shared" si="18"/>
        <v>12.131428571428572</v>
      </c>
      <c r="AD54" s="243">
        <f t="shared" si="18"/>
        <v>10.916666666666666</v>
      </c>
      <c r="AE54" s="243">
        <f t="shared" si="17"/>
        <v>0</v>
      </c>
      <c r="AF54" s="243">
        <f t="shared" si="17"/>
        <v>0</v>
      </c>
      <c r="AG54" s="243">
        <f t="shared" si="17"/>
        <v>0</v>
      </c>
      <c r="AH54" s="280">
        <f>IFERROR(AVERAGEIF(C54:AG54, "&lt;&gt;0"),)</f>
        <v>12.687807820746144</v>
      </c>
      <c r="AI54" s="244"/>
      <c r="AJ54" s="245">
        <f>AH54</f>
        <v>12.687807820746144</v>
      </c>
      <c r="AK54" s="223" t="s">
        <v>125</v>
      </c>
    </row>
    <row r="55" spans="1:37" ht="16.5" thickBot="1" x14ac:dyDescent="0.3"/>
    <row r="56" spans="1:37" ht="16.5" thickBot="1" x14ac:dyDescent="0.3">
      <c r="A56" s="298"/>
      <c r="B56" s="299" t="s">
        <v>137</v>
      </c>
      <c r="C56" s="300"/>
      <c r="D56" s="300"/>
      <c r="E56" s="300"/>
      <c r="F56" s="300"/>
      <c r="G56" s="300"/>
      <c r="H56" s="300"/>
      <c r="I56" s="300"/>
      <c r="J56" s="300"/>
      <c r="K56" s="300"/>
      <c r="L56" s="300"/>
      <c r="M56" s="300"/>
      <c r="N56" s="300"/>
      <c r="O56" s="300"/>
      <c r="P56" s="300"/>
      <c r="Q56" s="300"/>
      <c r="R56" s="300"/>
      <c r="S56" s="300"/>
      <c r="T56" s="300"/>
      <c r="U56" s="300"/>
      <c r="V56" s="300"/>
      <c r="W56" s="300"/>
      <c r="X56" s="300"/>
      <c r="Y56" s="300"/>
      <c r="Z56" s="300"/>
      <c r="AA56" s="300"/>
      <c r="AB56" s="300"/>
      <c r="AC56" s="300"/>
      <c r="AD56" s="300"/>
      <c r="AE56" s="300"/>
      <c r="AF56" s="300"/>
      <c r="AG56" s="300"/>
      <c r="AH56" s="301" t="s">
        <v>138</v>
      </c>
      <c r="AJ56" s="302" t="s">
        <v>138</v>
      </c>
      <c r="AK56" s="303" t="s">
        <v>135</v>
      </c>
    </row>
    <row r="57" spans="1:37" x14ac:dyDescent="0.25">
      <c r="A57" s="90"/>
      <c r="B57" s="304" t="s">
        <v>139</v>
      </c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305">
        <f>IFERROR(AVERAGEIF(C57:AG57,"&lt;&gt;0"),)</f>
        <v>0</v>
      </c>
      <c r="AJ57" s="306">
        <f>AH57</f>
        <v>0</v>
      </c>
      <c r="AK57" s="307" t="s">
        <v>140</v>
      </c>
    </row>
    <row r="58" spans="1:37" x14ac:dyDescent="0.25">
      <c r="A58" s="90"/>
      <c r="B58" s="304" t="s">
        <v>162</v>
      </c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305">
        <f t="shared" ref="AH58:AH60" si="19">IFERROR(AVERAGEIF(C58:AG58,"&lt;&gt;0"),)</f>
        <v>0</v>
      </c>
      <c r="AJ58" s="308">
        <f>AH58</f>
        <v>0</v>
      </c>
      <c r="AK58" s="309" t="s">
        <v>141</v>
      </c>
    </row>
    <row r="59" spans="1:37" x14ac:dyDescent="0.25">
      <c r="A59" s="90"/>
      <c r="B59" s="304" t="s">
        <v>142</v>
      </c>
      <c r="C59" s="304"/>
      <c r="D59" s="304"/>
      <c r="E59" s="304"/>
      <c r="F59" s="304"/>
      <c r="G59" s="304"/>
      <c r="H59" s="304"/>
      <c r="I59" s="304"/>
      <c r="J59" s="304"/>
      <c r="K59" s="304"/>
      <c r="L59" s="304"/>
      <c r="M59" s="304"/>
      <c r="N59" s="304"/>
      <c r="O59" s="304"/>
      <c r="P59" s="304"/>
      <c r="Q59" s="304"/>
      <c r="R59" s="304"/>
      <c r="S59" s="304"/>
      <c r="T59" s="304"/>
      <c r="U59" s="304"/>
      <c r="V59" s="304"/>
      <c r="W59" s="304"/>
      <c r="X59" s="304"/>
      <c r="Y59" s="304"/>
      <c r="Z59" s="304"/>
      <c r="AA59" s="304"/>
      <c r="AB59" s="304"/>
      <c r="AC59" s="304"/>
      <c r="AD59" s="304"/>
      <c r="AE59" s="304"/>
      <c r="AF59" s="304"/>
      <c r="AG59" s="304"/>
      <c r="AH59" s="305">
        <f t="shared" si="19"/>
        <v>0</v>
      </c>
      <c r="AJ59" s="308">
        <f>AH59</f>
        <v>0</v>
      </c>
      <c r="AK59" s="309" t="s">
        <v>143</v>
      </c>
    </row>
    <row r="60" spans="1:37" ht="16.5" thickBot="1" x14ac:dyDescent="0.3">
      <c r="A60" s="81"/>
      <c r="B60" s="310" t="s">
        <v>144</v>
      </c>
      <c r="C60" s="311"/>
      <c r="D60" s="311"/>
      <c r="E60" s="311"/>
      <c r="F60" s="311"/>
      <c r="G60" s="311"/>
      <c r="H60" s="311"/>
      <c r="I60" s="311"/>
      <c r="J60" s="311"/>
      <c r="K60" s="311"/>
      <c r="L60" s="311"/>
      <c r="M60" s="311"/>
      <c r="N60" s="311"/>
      <c r="O60" s="311"/>
      <c r="P60" s="311"/>
      <c r="Q60" s="311"/>
      <c r="R60" s="311"/>
      <c r="S60" s="311"/>
      <c r="T60" s="311"/>
      <c r="U60" s="311"/>
      <c r="V60" s="311"/>
      <c r="W60" s="311"/>
      <c r="X60" s="311"/>
      <c r="Y60" s="311"/>
      <c r="Z60" s="311"/>
      <c r="AA60" s="311"/>
      <c r="AB60" s="311"/>
      <c r="AC60" s="311"/>
      <c r="AD60" s="311"/>
      <c r="AE60" s="311"/>
      <c r="AF60" s="311"/>
      <c r="AG60" s="311"/>
      <c r="AH60" s="312">
        <f t="shared" si="19"/>
        <v>0</v>
      </c>
      <c r="AJ60" s="313">
        <f>AH60</f>
        <v>0</v>
      </c>
      <c r="AK60" s="82" t="s">
        <v>145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9:AK39"/>
    <mergeCell ref="AL39:AM39"/>
    <mergeCell ref="AJ31:AM31"/>
  </mergeCells>
  <conditionalFormatting sqref="C43:AG43">
    <cfRule type="cellIs" dxfId="11" priority="12" operator="notEqual">
      <formula>0</formula>
    </cfRule>
  </conditionalFormatting>
  <conditionalFormatting sqref="C43:AG43">
    <cfRule type="cellIs" dxfId="10" priority="11" operator="notEqual">
      <formula>0</formula>
    </cfRule>
  </conditionalFormatting>
  <conditionalFormatting sqref="C31:AH31">
    <cfRule type="cellIs" dxfId="9" priority="7" operator="lessThan">
      <formula>0</formula>
    </cfRule>
    <cfRule type="cellIs" dxfId="8" priority="8" operator="greaterThan">
      <formula>0</formula>
    </cfRule>
  </conditionalFormatting>
  <conditionalFormatting sqref="C41:AG41">
    <cfRule type="cellIs" dxfId="7" priority="5" operator="lessThan">
      <formula>0</formula>
    </cfRule>
    <cfRule type="cellIs" dxfId="6" priority="6" operator="greaterThan">
      <formula>0</formula>
    </cfRule>
  </conditionalFormatting>
  <conditionalFormatting sqref="AN39">
    <cfRule type="cellIs" dxfId="5" priority="3" operator="lessThan">
      <formula>0</formula>
    </cfRule>
    <cfRule type="cellIs" dxfId="4" priority="4" operator="greaterThan">
      <formula>0</formula>
    </cfRule>
  </conditionalFormatting>
  <pageMargins left="0" right="0" top="0.75" bottom="0.75" header="0.3" footer="0.3"/>
  <pageSetup paperSize="17" scale="62" orientation="landscape" verticalDpi="300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opLeftCell="A16" workbookViewId="0">
      <selection sqref="A1:B1"/>
    </sheetView>
  </sheetViews>
  <sheetFormatPr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471"/>
      <c r="B1" s="472"/>
      <c r="C1" s="319" t="s">
        <v>148</v>
      </c>
      <c r="D1" s="320" t="s">
        <v>63</v>
      </c>
      <c r="E1" s="320" t="s">
        <v>35</v>
      </c>
      <c r="F1" s="320" t="s">
        <v>149</v>
      </c>
      <c r="G1" s="320" t="s">
        <v>116</v>
      </c>
      <c r="H1" s="320" t="s">
        <v>79</v>
      </c>
      <c r="I1" s="320" t="s">
        <v>41</v>
      </c>
      <c r="J1" s="321"/>
      <c r="K1" s="322" t="s">
        <v>139</v>
      </c>
      <c r="L1" s="322" t="s">
        <v>150</v>
      </c>
      <c r="M1" s="322" t="s">
        <v>142</v>
      </c>
      <c r="N1" s="321"/>
      <c r="O1" s="322" t="s">
        <v>151</v>
      </c>
    </row>
    <row r="2" spans="1:15" x14ac:dyDescent="0.25">
      <c r="A2" s="323">
        <f>'Cash Flow'!A8</f>
        <v>44593</v>
      </c>
      <c r="B2" s="358" t="str">
        <f>TEXT(A2,"ddd")</f>
        <v>Tue</v>
      </c>
      <c r="C2" s="324">
        <f t="array" ref="C2:C32">TRANSPOSE(Pool!C4:AG4)+TRANSPOSE(Pool!C18:AG18*0.5)</f>
        <v>0</v>
      </c>
      <c r="D2" s="324">
        <f t="array" ref="D2:D32">TRANSPOSE(Pool!C6:AG6)</f>
        <v>0</v>
      </c>
      <c r="E2" s="324">
        <f t="array" ref="E2:E32">TRANSPOSE(Pool!C14:AG14)</f>
        <v>90</v>
      </c>
      <c r="F2" s="324">
        <f t="array" ref="F2:F32">TRANSPOSE(Pool!C15:AG15)</f>
        <v>0</v>
      </c>
      <c r="G2" s="324">
        <f t="array" ref="G2:G32">TRANSPOSE(Pool!C16:AG16)</f>
        <v>0</v>
      </c>
      <c r="H2" s="324">
        <f t="array" ref="H2:H32">TRANSPOSE(Pool!C17:AG17)+TRANSPOSE(Pool!C18:AG18*0.5)</f>
        <v>0</v>
      </c>
      <c r="I2" s="327">
        <f t="array" ref="I2:I32">TRANSPOSE(Pool!C21:AG21)</f>
        <v>0</v>
      </c>
      <c r="J2" s="330"/>
      <c r="K2" s="331">
        <f t="array" ref="K2:K32">TRANSPOSE(Pool!C57:AG57)</f>
        <v>0</v>
      </c>
      <c r="L2" s="334">
        <f t="array" ref="L2:L32">TRANSPOSE(Pool!C58:AG58)</f>
        <v>0</v>
      </c>
      <c r="M2" s="337">
        <f t="array" ref="M2:M32">TRANSPOSE(Pool!C59:AG59)</f>
        <v>0</v>
      </c>
      <c r="N2" s="330"/>
      <c r="O2" s="341">
        <f t="array" ref="O2:O32">TRANSPOSE(Pool!C50:AG50)</f>
        <v>1</v>
      </c>
    </row>
    <row r="3" spans="1:15" x14ac:dyDescent="0.25">
      <c r="A3" s="344">
        <f t="shared" ref="A3:A32" si="0">SUM(A2+1)</f>
        <v>44594</v>
      </c>
      <c r="B3" s="359" t="str">
        <f>TEXT(A3,"ddd")</f>
        <v>Wed</v>
      </c>
      <c r="C3" s="325">
        <v>577.6</v>
      </c>
      <c r="D3" s="325">
        <v>0</v>
      </c>
      <c r="E3" s="325">
        <v>0</v>
      </c>
      <c r="F3" s="325">
        <v>40.43</v>
      </c>
      <c r="G3" s="325">
        <v>0</v>
      </c>
      <c r="H3" s="325">
        <v>78.099999999999994</v>
      </c>
      <c r="I3" s="328">
        <v>0</v>
      </c>
      <c r="J3" s="330"/>
      <c r="K3" s="332">
        <v>0</v>
      </c>
      <c r="L3" s="335">
        <v>0</v>
      </c>
      <c r="M3" s="338">
        <v>0</v>
      </c>
      <c r="N3" s="330"/>
      <c r="O3" s="342">
        <v>97</v>
      </c>
    </row>
    <row r="4" spans="1:15" x14ac:dyDescent="0.25">
      <c r="A4" s="344">
        <f t="shared" si="0"/>
        <v>44595</v>
      </c>
      <c r="B4" s="359" t="str">
        <f>TEXT(A4,"DDD")</f>
        <v>Thu</v>
      </c>
      <c r="C4" s="325">
        <v>1218.4000000000001</v>
      </c>
      <c r="D4" s="325">
        <v>0</v>
      </c>
      <c r="E4" s="325">
        <v>0</v>
      </c>
      <c r="F4" s="325">
        <v>117.86</v>
      </c>
      <c r="G4" s="325">
        <v>0</v>
      </c>
      <c r="H4" s="325">
        <v>217.5</v>
      </c>
      <c r="I4" s="328">
        <v>0</v>
      </c>
      <c r="J4" s="330"/>
      <c r="K4" s="332">
        <v>0</v>
      </c>
      <c r="L4" s="335">
        <v>0</v>
      </c>
      <c r="M4" s="338">
        <v>0</v>
      </c>
      <c r="N4" s="330"/>
      <c r="O4" s="342">
        <v>134</v>
      </c>
    </row>
    <row r="5" spans="1:15" x14ac:dyDescent="0.25">
      <c r="A5" s="344">
        <f t="shared" si="0"/>
        <v>44596</v>
      </c>
      <c r="B5" s="359" t="str">
        <f>TEXT(A5,"ddd")</f>
        <v>Fri</v>
      </c>
      <c r="C5" s="325">
        <v>2245.6</v>
      </c>
      <c r="D5" s="325">
        <v>0</v>
      </c>
      <c r="E5" s="325">
        <v>0</v>
      </c>
      <c r="F5" s="325">
        <v>190.73</v>
      </c>
      <c r="G5" s="325">
        <v>0</v>
      </c>
      <c r="H5" s="325">
        <v>78.099999999999994</v>
      </c>
      <c r="I5" s="328">
        <v>0</v>
      </c>
      <c r="J5" s="330"/>
      <c r="K5" s="332">
        <v>0</v>
      </c>
      <c r="L5" s="335">
        <v>0</v>
      </c>
      <c r="M5" s="338">
        <v>0</v>
      </c>
      <c r="N5" s="330"/>
      <c r="O5" s="342">
        <v>230</v>
      </c>
    </row>
    <row r="6" spans="1:15" x14ac:dyDescent="0.25">
      <c r="A6" s="344">
        <f t="shared" si="0"/>
        <v>44597</v>
      </c>
      <c r="B6" s="359" t="str">
        <f>TEXT(A6,"DDD")</f>
        <v>Sat</v>
      </c>
      <c r="C6" s="325">
        <v>4758.8</v>
      </c>
      <c r="D6" s="325">
        <v>0</v>
      </c>
      <c r="E6" s="325">
        <v>0</v>
      </c>
      <c r="F6" s="325">
        <v>403.44</v>
      </c>
      <c r="G6" s="325">
        <v>0</v>
      </c>
      <c r="H6" s="325">
        <v>0</v>
      </c>
      <c r="I6" s="328">
        <v>0</v>
      </c>
      <c r="J6" s="330"/>
      <c r="K6" s="332">
        <v>0</v>
      </c>
      <c r="L6" s="335">
        <v>0</v>
      </c>
      <c r="M6" s="338">
        <v>0</v>
      </c>
      <c r="N6" s="330"/>
      <c r="O6" s="342">
        <v>506</v>
      </c>
    </row>
    <row r="7" spans="1:15" x14ac:dyDescent="0.25">
      <c r="A7" s="344">
        <f t="shared" si="0"/>
        <v>44598</v>
      </c>
      <c r="B7" s="359" t="str">
        <f>TEXT(A7,"ddd")</f>
        <v>Sun</v>
      </c>
      <c r="C7" s="325">
        <v>2520</v>
      </c>
      <c r="D7" s="325">
        <v>0</v>
      </c>
      <c r="E7" s="325">
        <v>0</v>
      </c>
      <c r="F7" s="325">
        <v>140.75</v>
      </c>
      <c r="G7" s="325">
        <v>0</v>
      </c>
      <c r="H7" s="325">
        <v>0</v>
      </c>
      <c r="I7" s="328">
        <v>0</v>
      </c>
      <c r="J7" s="330"/>
      <c r="K7" s="332">
        <v>0</v>
      </c>
      <c r="L7" s="335">
        <v>0</v>
      </c>
      <c r="M7" s="338">
        <v>0</v>
      </c>
      <c r="N7" s="330"/>
      <c r="O7" s="342">
        <v>285</v>
      </c>
    </row>
    <row r="8" spans="1:15" x14ac:dyDescent="0.25">
      <c r="A8" s="344">
        <f t="shared" si="0"/>
        <v>44599</v>
      </c>
      <c r="B8" s="359" t="str">
        <f>TEXT(A8,"DDD")</f>
        <v>Mon</v>
      </c>
      <c r="C8" s="325">
        <v>1318.3999999999999</v>
      </c>
      <c r="D8" s="325">
        <v>0</v>
      </c>
      <c r="E8" s="325">
        <v>180</v>
      </c>
      <c r="F8" s="325">
        <v>118.68</v>
      </c>
      <c r="G8" s="325">
        <v>0</v>
      </c>
      <c r="H8" s="325">
        <v>157.4</v>
      </c>
      <c r="I8" s="328">
        <v>0</v>
      </c>
      <c r="J8" s="330"/>
      <c r="K8" s="332">
        <v>0</v>
      </c>
      <c r="L8" s="335">
        <v>0</v>
      </c>
      <c r="M8" s="338">
        <v>0</v>
      </c>
      <c r="N8" s="330"/>
      <c r="O8" s="342">
        <v>169</v>
      </c>
    </row>
    <row r="9" spans="1:15" x14ac:dyDescent="0.25">
      <c r="A9" s="344">
        <f t="shared" si="0"/>
        <v>44600</v>
      </c>
      <c r="B9" s="359" t="str">
        <f>TEXT(A9,"ddd")</f>
        <v>Tue</v>
      </c>
      <c r="C9" s="325">
        <v>0</v>
      </c>
      <c r="D9" s="325">
        <v>0</v>
      </c>
      <c r="E9" s="325">
        <v>0</v>
      </c>
      <c r="F9" s="325">
        <v>0</v>
      </c>
      <c r="G9" s="325">
        <v>0</v>
      </c>
      <c r="H9" s="325">
        <v>87.5</v>
      </c>
      <c r="I9" s="328">
        <v>0</v>
      </c>
      <c r="J9" s="330"/>
      <c r="K9" s="332">
        <v>0</v>
      </c>
      <c r="L9" s="335">
        <v>0</v>
      </c>
      <c r="M9" s="339">
        <v>0</v>
      </c>
      <c r="N9" s="330"/>
      <c r="O9" s="342">
        <v>0</v>
      </c>
    </row>
    <row r="10" spans="1:15" x14ac:dyDescent="0.25">
      <c r="A10" s="344">
        <f t="shared" si="0"/>
        <v>44601</v>
      </c>
      <c r="B10" s="359" t="str">
        <f>TEXT(A10,"DDD")</f>
        <v>Wed</v>
      </c>
      <c r="C10" s="325">
        <v>1001.6</v>
      </c>
      <c r="D10" s="325">
        <v>0</v>
      </c>
      <c r="E10" s="325">
        <v>0</v>
      </c>
      <c r="F10" s="325">
        <v>154.63</v>
      </c>
      <c r="G10" s="325">
        <v>0</v>
      </c>
      <c r="H10" s="325">
        <v>0</v>
      </c>
      <c r="I10" s="328">
        <v>0</v>
      </c>
      <c r="J10" s="330"/>
      <c r="K10" s="332">
        <v>0</v>
      </c>
      <c r="L10" s="335">
        <v>0</v>
      </c>
      <c r="M10" s="338">
        <v>0</v>
      </c>
      <c r="N10" s="330"/>
      <c r="O10" s="342">
        <v>125</v>
      </c>
    </row>
    <row r="11" spans="1:15" x14ac:dyDescent="0.25">
      <c r="A11" s="344">
        <f t="shared" si="0"/>
        <v>44602</v>
      </c>
      <c r="B11" s="359" t="str">
        <f>TEXT(A11,"ddd")</f>
        <v>Thu</v>
      </c>
      <c r="C11" s="325">
        <v>1212</v>
      </c>
      <c r="D11" s="325">
        <v>0</v>
      </c>
      <c r="E11" s="325">
        <v>4</v>
      </c>
      <c r="F11" s="325">
        <v>114.78</v>
      </c>
      <c r="G11" s="325">
        <v>0</v>
      </c>
      <c r="H11" s="325">
        <v>282.5</v>
      </c>
      <c r="I11" s="328">
        <v>0</v>
      </c>
      <c r="J11" s="330"/>
      <c r="K11" s="332">
        <v>0</v>
      </c>
      <c r="L11" s="335">
        <v>0</v>
      </c>
      <c r="M11" s="338">
        <v>0</v>
      </c>
      <c r="N11" s="330"/>
      <c r="O11" s="342">
        <v>134</v>
      </c>
    </row>
    <row r="12" spans="1:15" x14ac:dyDescent="0.25">
      <c r="A12" s="344">
        <f t="shared" si="0"/>
        <v>44603</v>
      </c>
      <c r="B12" s="359" t="str">
        <f>TEXT(A12,"DDD")</f>
        <v>Fri</v>
      </c>
      <c r="C12" s="325">
        <v>2304.4</v>
      </c>
      <c r="D12" s="325">
        <v>0</v>
      </c>
      <c r="E12" s="325">
        <v>4</v>
      </c>
      <c r="F12" s="325">
        <v>184.57</v>
      </c>
      <c r="G12" s="325">
        <v>0</v>
      </c>
      <c r="H12" s="325">
        <v>0</v>
      </c>
      <c r="I12" s="328">
        <v>0</v>
      </c>
      <c r="J12" s="330"/>
      <c r="K12" s="332">
        <v>0</v>
      </c>
      <c r="L12" s="335">
        <v>0</v>
      </c>
      <c r="M12" s="338">
        <v>0</v>
      </c>
      <c r="N12" s="330"/>
      <c r="O12" s="342">
        <v>237</v>
      </c>
    </row>
    <row r="13" spans="1:15" x14ac:dyDescent="0.25">
      <c r="A13" s="344">
        <f t="shared" si="0"/>
        <v>44604</v>
      </c>
      <c r="B13" s="359" t="str">
        <f>TEXT(A13,"ddd")</f>
        <v>Sat</v>
      </c>
      <c r="C13" s="325">
        <v>4832</v>
      </c>
      <c r="D13" s="325">
        <v>0</v>
      </c>
      <c r="E13" s="325">
        <v>8</v>
      </c>
      <c r="F13" s="325">
        <v>338.84</v>
      </c>
      <c r="G13" s="325">
        <v>0</v>
      </c>
      <c r="H13" s="325">
        <v>0</v>
      </c>
      <c r="I13" s="328">
        <v>0</v>
      </c>
      <c r="J13" s="330"/>
      <c r="K13" s="332">
        <v>0</v>
      </c>
      <c r="L13" s="335">
        <v>0</v>
      </c>
      <c r="M13" s="338">
        <v>0</v>
      </c>
      <c r="N13" s="330"/>
      <c r="O13" s="342">
        <v>518</v>
      </c>
    </row>
    <row r="14" spans="1:15" x14ac:dyDescent="0.25">
      <c r="A14" s="344">
        <f t="shared" si="0"/>
        <v>44605</v>
      </c>
      <c r="B14" s="359" t="str">
        <f>TEXT(A14,"DDD")</f>
        <v>Sun</v>
      </c>
      <c r="C14" s="325">
        <v>2374.4</v>
      </c>
      <c r="D14" s="325">
        <v>0</v>
      </c>
      <c r="E14" s="325">
        <v>4</v>
      </c>
      <c r="F14" s="325">
        <v>281.05</v>
      </c>
      <c r="G14" s="325">
        <v>0</v>
      </c>
      <c r="H14" s="325">
        <v>0</v>
      </c>
      <c r="I14" s="328">
        <v>0</v>
      </c>
      <c r="J14" s="330"/>
      <c r="K14" s="332">
        <v>0</v>
      </c>
      <c r="L14" s="335">
        <v>0</v>
      </c>
      <c r="M14" s="338">
        <v>0</v>
      </c>
      <c r="N14" s="330"/>
      <c r="O14" s="342">
        <v>236</v>
      </c>
    </row>
    <row r="15" spans="1:15" x14ac:dyDescent="0.25">
      <c r="A15" s="344">
        <f t="shared" si="0"/>
        <v>44606</v>
      </c>
      <c r="B15" s="359" t="str">
        <f>TEXT(A15,"ddd")</f>
        <v>Mon</v>
      </c>
      <c r="C15" s="325">
        <v>1307.2</v>
      </c>
      <c r="D15" s="325">
        <v>0</v>
      </c>
      <c r="E15" s="325">
        <v>124</v>
      </c>
      <c r="F15" s="325">
        <v>140.74</v>
      </c>
      <c r="G15" s="325">
        <v>0</v>
      </c>
      <c r="H15" s="325">
        <v>215</v>
      </c>
      <c r="I15" s="328">
        <v>0</v>
      </c>
      <c r="J15" s="330"/>
      <c r="K15" s="332">
        <v>0</v>
      </c>
      <c r="L15" s="335">
        <v>0</v>
      </c>
      <c r="M15" s="338">
        <v>0</v>
      </c>
      <c r="N15" s="330"/>
      <c r="O15" s="342">
        <v>170</v>
      </c>
    </row>
    <row r="16" spans="1:15" x14ac:dyDescent="0.25">
      <c r="A16" s="344">
        <f t="shared" si="0"/>
        <v>44607</v>
      </c>
      <c r="B16" s="359" t="str">
        <f>TEXT(A16,"DDD")</f>
        <v>Tue</v>
      </c>
      <c r="C16" s="325">
        <v>0</v>
      </c>
      <c r="D16" s="325">
        <v>0</v>
      </c>
      <c r="E16" s="325">
        <v>0</v>
      </c>
      <c r="F16" s="325">
        <v>0</v>
      </c>
      <c r="G16" s="325">
        <v>0</v>
      </c>
      <c r="H16" s="325">
        <v>0</v>
      </c>
      <c r="I16" s="328">
        <v>0</v>
      </c>
      <c r="J16" s="330"/>
      <c r="K16" s="332">
        <v>0</v>
      </c>
      <c r="L16" s="335">
        <v>0</v>
      </c>
      <c r="M16" s="338">
        <v>0</v>
      </c>
      <c r="N16" s="330"/>
      <c r="O16" s="342">
        <v>0</v>
      </c>
    </row>
    <row r="17" spans="1:15" x14ac:dyDescent="0.25">
      <c r="A17" s="344">
        <f t="shared" si="0"/>
        <v>44608</v>
      </c>
      <c r="B17" s="359" t="str">
        <f>TEXT(A17,"ddd")</f>
        <v>Wed</v>
      </c>
      <c r="C17" s="325">
        <v>1648</v>
      </c>
      <c r="D17" s="325">
        <v>0</v>
      </c>
      <c r="E17" s="325">
        <v>0</v>
      </c>
      <c r="F17" s="325">
        <v>79.03</v>
      </c>
      <c r="G17" s="325">
        <v>0</v>
      </c>
      <c r="H17" s="325">
        <v>0</v>
      </c>
      <c r="I17" s="328">
        <v>0</v>
      </c>
      <c r="J17" s="330"/>
      <c r="K17" s="332">
        <v>0</v>
      </c>
      <c r="L17" s="335">
        <v>0</v>
      </c>
      <c r="M17" s="338">
        <v>0</v>
      </c>
      <c r="N17" s="330"/>
      <c r="O17" s="342">
        <v>181</v>
      </c>
    </row>
    <row r="18" spans="1:15" x14ac:dyDescent="0.25">
      <c r="A18" s="344">
        <f t="shared" si="0"/>
        <v>44609</v>
      </c>
      <c r="B18" s="359" t="str">
        <f>TEXT(A18,"DDD")</f>
        <v>Thu</v>
      </c>
      <c r="C18" s="325">
        <v>1014.4</v>
      </c>
      <c r="D18" s="325">
        <v>0</v>
      </c>
      <c r="E18" s="325">
        <v>0</v>
      </c>
      <c r="F18" s="325">
        <v>114.91</v>
      </c>
      <c r="G18" s="325">
        <v>0</v>
      </c>
      <c r="H18" s="325">
        <v>0</v>
      </c>
      <c r="I18" s="328">
        <v>0</v>
      </c>
      <c r="J18" s="330"/>
      <c r="K18" s="332">
        <v>0</v>
      </c>
      <c r="L18" s="335">
        <v>0</v>
      </c>
      <c r="M18" s="338">
        <v>0</v>
      </c>
      <c r="N18" s="330"/>
      <c r="O18" s="342">
        <v>147</v>
      </c>
    </row>
    <row r="19" spans="1:15" x14ac:dyDescent="0.25">
      <c r="A19" s="344">
        <f t="shared" si="0"/>
        <v>44610</v>
      </c>
      <c r="B19" s="359" t="str">
        <f>TEXT(A19,"ddd")</f>
        <v>Fri</v>
      </c>
      <c r="C19" s="325">
        <v>2408</v>
      </c>
      <c r="D19" s="325">
        <v>0</v>
      </c>
      <c r="E19" s="325">
        <v>8</v>
      </c>
      <c r="F19" s="325">
        <v>182.36</v>
      </c>
      <c r="G19" s="325">
        <v>0</v>
      </c>
      <c r="H19" s="325">
        <v>16</v>
      </c>
      <c r="I19" s="328">
        <v>0</v>
      </c>
      <c r="J19" s="330"/>
      <c r="K19" s="332">
        <v>0</v>
      </c>
      <c r="L19" s="335">
        <v>0</v>
      </c>
      <c r="M19" s="338">
        <v>0</v>
      </c>
      <c r="N19" s="330"/>
      <c r="O19" s="342">
        <v>265</v>
      </c>
    </row>
    <row r="20" spans="1:15" x14ac:dyDescent="0.25">
      <c r="A20" s="344">
        <f t="shared" si="0"/>
        <v>44611</v>
      </c>
      <c r="B20" s="359" t="str">
        <f>TEXT(A20,"DDD")</f>
        <v>Sat</v>
      </c>
      <c r="C20" s="325">
        <v>10275.6</v>
      </c>
      <c r="D20" s="325">
        <v>0</v>
      </c>
      <c r="E20" s="325">
        <v>0</v>
      </c>
      <c r="F20" s="325">
        <v>313.82</v>
      </c>
      <c r="G20" s="325">
        <v>0</v>
      </c>
      <c r="H20" s="325">
        <v>370</v>
      </c>
      <c r="I20" s="328">
        <v>0</v>
      </c>
      <c r="J20" s="330"/>
      <c r="K20" s="332">
        <v>0</v>
      </c>
      <c r="L20" s="335">
        <v>0</v>
      </c>
      <c r="M20" s="338">
        <v>0</v>
      </c>
      <c r="N20" s="330"/>
      <c r="O20" s="342">
        <v>828</v>
      </c>
    </row>
    <row r="21" spans="1:15" x14ac:dyDescent="0.25">
      <c r="A21" s="344">
        <f t="shared" si="0"/>
        <v>44612</v>
      </c>
      <c r="B21" s="359" t="str">
        <f>TEXT(A21,"ddd")</f>
        <v>Sun</v>
      </c>
      <c r="C21" s="325">
        <v>7449.6</v>
      </c>
      <c r="D21" s="325">
        <v>0</v>
      </c>
      <c r="E21" s="325">
        <v>4</v>
      </c>
      <c r="F21" s="325">
        <v>234.44</v>
      </c>
      <c r="G21" s="325">
        <v>0</v>
      </c>
      <c r="H21" s="325">
        <v>0</v>
      </c>
      <c r="I21" s="328">
        <v>0</v>
      </c>
      <c r="J21" s="330"/>
      <c r="K21" s="332">
        <v>0</v>
      </c>
      <c r="L21" s="335">
        <v>0</v>
      </c>
      <c r="M21" s="338">
        <v>0</v>
      </c>
      <c r="N21" s="330"/>
      <c r="O21" s="342">
        <v>629</v>
      </c>
    </row>
    <row r="22" spans="1:15" x14ac:dyDescent="0.25">
      <c r="A22" s="344">
        <f t="shared" si="0"/>
        <v>44613</v>
      </c>
      <c r="B22" s="359" t="str">
        <f>TEXT(A22,"DDD")</f>
        <v>Mon</v>
      </c>
      <c r="C22" s="325">
        <v>2479.1999999999998</v>
      </c>
      <c r="D22" s="325">
        <v>0</v>
      </c>
      <c r="E22" s="325">
        <v>130</v>
      </c>
      <c r="F22" s="325">
        <v>167.22</v>
      </c>
      <c r="G22" s="325">
        <v>0</v>
      </c>
      <c r="H22" s="325">
        <v>96</v>
      </c>
      <c r="I22" s="328">
        <v>0</v>
      </c>
      <c r="J22" s="330"/>
      <c r="K22" s="332">
        <v>0</v>
      </c>
      <c r="L22" s="335">
        <v>0</v>
      </c>
      <c r="M22" s="338">
        <v>0</v>
      </c>
      <c r="N22" s="330"/>
      <c r="O22" s="342">
        <v>262</v>
      </c>
    </row>
    <row r="23" spans="1:15" x14ac:dyDescent="0.25">
      <c r="A23" s="344">
        <f t="shared" si="0"/>
        <v>44614</v>
      </c>
      <c r="B23" s="359" t="str">
        <f>TEXT(A23,"ddd")</f>
        <v>Tue</v>
      </c>
      <c r="C23" s="325">
        <v>0</v>
      </c>
      <c r="D23" s="325">
        <v>0</v>
      </c>
      <c r="E23" s="325">
        <v>0</v>
      </c>
      <c r="F23" s="325">
        <v>0</v>
      </c>
      <c r="G23" s="325">
        <v>0</v>
      </c>
      <c r="H23" s="325">
        <v>0</v>
      </c>
      <c r="I23" s="328">
        <v>0</v>
      </c>
      <c r="J23" s="330"/>
      <c r="K23" s="332">
        <v>0</v>
      </c>
      <c r="L23" s="335">
        <v>0</v>
      </c>
      <c r="M23" s="338">
        <v>0</v>
      </c>
      <c r="N23" s="330"/>
      <c r="O23" s="342">
        <v>0</v>
      </c>
    </row>
    <row r="24" spans="1:15" x14ac:dyDescent="0.25">
      <c r="A24" s="344">
        <f t="shared" si="0"/>
        <v>44615</v>
      </c>
      <c r="B24" s="359" t="str">
        <f>TEXT(A24,"DDD")</f>
        <v>Wed</v>
      </c>
      <c r="C24" s="325">
        <v>866.2</v>
      </c>
      <c r="D24" s="325">
        <v>0</v>
      </c>
      <c r="E24" s="325">
        <v>0</v>
      </c>
      <c r="F24" s="325">
        <v>88.81</v>
      </c>
      <c r="G24" s="325">
        <v>0</v>
      </c>
      <c r="H24" s="325">
        <v>0</v>
      </c>
      <c r="I24" s="328">
        <v>0</v>
      </c>
      <c r="J24" s="330"/>
      <c r="K24" s="332">
        <v>0</v>
      </c>
      <c r="L24" s="335">
        <v>0</v>
      </c>
      <c r="M24" s="338">
        <v>0</v>
      </c>
      <c r="N24" s="330"/>
      <c r="O24" s="342">
        <v>110</v>
      </c>
    </row>
    <row r="25" spans="1:15" x14ac:dyDescent="0.25">
      <c r="A25" s="344">
        <f t="shared" si="0"/>
        <v>44616</v>
      </c>
      <c r="B25" s="359" t="str">
        <f>TEXT(A25,"ddd")</f>
        <v>Thu</v>
      </c>
      <c r="C25" s="325">
        <v>956</v>
      </c>
      <c r="D25" s="325">
        <v>0</v>
      </c>
      <c r="E25" s="325">
        <v>0</v>
      </c>
      <c r="F25" s="325">
        <v>46.95</v>
      </c>
      <c r="G25" s="325">
        <v>0</v>
      </c>
      <c r="H25" s="325">
        <v>207</v>
      </c>
      <c r="I25" s="328">
        <v>0</v>
      </c>
      <c r="J25" s="330"/>
      <c r="K25" s="332">
        <v>0</v>
      </c>
      <c r="L25" s="335">
        <v>0</v>
      </c>
      <c r="M25" s="338">
        <v>0</v>
      </c>
      <c r="N25" s="330"/>
      <c r="O25" s="342">
        <v>108</v>
      </c>
    </row>
    <row r="26" spans="1:15" x14ac:dyDescent="0.25">
      <c r="A26" s="344">
        <f t="shared" si="0"/>
        <v>44617</v>
      </c>
      <c r="B26" s="359" t="str">
        <f>TEXT(A26,"DDD")</f>
        <v>Fri</v>
      </c>
      <c r="C26" s="325">
        <v>2827.6</v>
      </c>
      <c r="D26" s="325">
        <v>0</v>
      </c>
      <c r="E26" s="325">
        <v>4</v>
      </c>
      <c r="F26" s="325">
        <v>124.83</v>
      </c>
      <c r="G26" s="325">
        <v>0</v>
      </c>
      <c r="H26" s="325">
        <v>0</v>
      </c>
      <c r="I26" s="328">
        <v>0</v>
      </c>
      <c r="J26" s="330"/>
      <c r="K26" s="332">
        <v>0</v>
      </c>
      <c r="L26" s="335">
        <v>0</v>
      </c>
      <c r="M26" s="338">
        <v>0</v>
      </c>
      <c r="N26" s="330"/>
      <c r="O26" s="342">
        <v>270</v>
      </c>
    </row>
    <row r="27" spans="1:15" x14ac:dyDescent="0.25">
      <c r="A27" s="344">
        <f t="shared" si="0"/>
        <v>44618</v>
      </c>
      <c r="B27" s="359" t="str">
        <f>TEXT(A27,"ddd")</f>
        <v>Sat</v>
      </c>
      <c r="C27" s="325">
        <v>5553.6</v>
      </c>
      <c r="D27" s="325">
        <v>0</v>
      </c>
      <c r="E27" s="325">
        <v>4</v>
      </c>
      <c r="F27" s="325">
        <v>470.33</v>
      </c>
      <c r="G27" s="325">
        <v>0</v>
      </c>
      <c r="H27" s="325">
        <v>0</v>
      </c>
      <c r="I27" s="328">
        <v>0</v>
      </c>
      <c r="J27" s="330"/>
      <c r="K27" s="332">
        <v>0</v>
      </c>
      <c r="L27" s="335">
        <v>0</v>
      </c>
      <c r="M27" s="338">
        <v>0</v>
      </c>
      <c r="N27" s="330"/>
      <c r="O27" s="342">
        <v>531</v>
      </c>
    </row>
    <row r="28" spans="1:15" x14ac:dyDescent="0.25">
      <c r="A28" s="344">
        <f t="shared" si="0"/>
        <v>44619</v>
      </c>
      <c r="B28" s="359" t="str">
        <f>TEXT(A28,"DDD")</f>
        <v>Sun</v>
      </c>
      <c r="C28" s="325">
        <v>3396.8</v>
      </c>
      <c r="D28" s="325">
        <v>0</v>
      </c>
      <c r="E28" s="325">
        <v>4</v>
      </c>
      <c r="F28" s="325">
        <v>261.14</v>
      </c>
      <c r="G28" s="325">
        <v>0</v>
      </c>
      <c r="H28" s="325">
        <v>62.5</v>
      </c>
      <c r="I28" s="328">
        <v>0</v>
      </c>
      <c r="J28" s="330"/>
      <c r="K28" s="332">
        <v>0</v>
      </c>
      <c r="L28" s="335">
        <v>0</v>
      </c>
      <c r="M28" s="338">
        <v>0</v>
      </c>
      <c r="N28" s="330"/>
      <c r="O28" s="342">
        <v>352</v>
      </c>
    </row>
    <row r="29" spans="1:15" x14ac:dyDescent="0.25">
      <c r="A29" s="344">
        <f t="shared" si="0"/>
        <v>44620</v>
      </c>
      <c r="B29" s="359" t="str">
        <f>TEXT(A29,"ddd")</f>
        <v>Mon</v>
      </c>
      <c r="C29" s="325">
        <v>1048</v>
      </c>
      <c r="D29" s="325">
        <v>0</v>
      </c>
      <c r="E29" s="325">
        <v>164</v>
      </c>
      <c r="F29" s="325">
        <v>126.98</v>
      </c>
      <c r="G29" s="325">
        <v>0</v>
      </c>
      <c r="H29" s="325">
        <v>132.5</v>
      </c>
      <c r="I29" s="328">
        <v>0</v>
      </c>
      <c r="J29" s="330"/>
      <c r="K29" s="332">
        <v>0</v>
      </c>
      <c r="L29" s="335">
        <v>0</v>
      </c>
      <c r="M29" s="338">
        <v>0</v>
      </c>
      <c r="N29" s="330"/>
      <c r="O29" s="342">
        <v>135</v>
      </c>
    </row>
    <row r="30" spans="1:15" x14ac:dyDescent="0.25">
      <c r="A30" s="344">
        <f t="shared" si="0"/>
        <v>44621</v>
      </c>
      <c r="B30" s="359" t="str">
        <f>TEXT(A30,"ddd")</f>
        <v>Tue</v>
      </c>
      <c r="C30" s="325">
        <v>0</v>
      </c>
      <c r="D30" s="325">
        <v>0</v>
      </c>
      <c r="E30" s="325">
        <v>0</v>
      </c>
      <c r="F30" s="325">
        <v>0</v>
      </c>
      <c r="G30" s="325">
        <v>0</v>
      </c>
      <c r="H30" s="325">
        <v>0</v>
      </c>
      <c r="I30" s="328">
        <v>0</v>
      </c>
      <c r="J30" s="330"/>
      <c r="K30" s="332">
        <v>0</v>
      </c>
      <c r="L30" s="335">
        <v>0</v>
      </c>
      <c r="M30" s="338">
        <v>0</v>
      </c>
      <c r="N30" s="330"/>
      <c r="O30" s="342">
        <v>0</v>
      </c>
    </row>
    <row r="31" spans="1:15" x14ac:dyDescent="0.25">
      <c r="A31" s="344">
        <f t="shared" si="0"/>
        <v>44622</v>
      </c>
      <c r="B31" s="359" t="str">
        <f>TEXT(A31,"ddd")</f>
        <v>Wed</v>
      </c>
      <c r="C31" s="325">
        <v>0</v>
      </c>
      <c r="D31" s="325">
        <v>0</v>
      </c>
      <c r="E31" s="325">
        <v>0</v>
      </c>
      <c r="F31" s="325">
        <v>0</v>
      </c>
      <c r="G31" s="325">
        <v>0</v>
      </c>
      <c r="H31" s="325">
        <v>0</v>
      </c>
      <c r="I31" s="328">
        <v>0</v>
      </c>
      <c r="J31" s="330"/>
      <c r="K31" s="332">
        <v>0</v>
      </c>
      <c r="L31" s="335">
        <v>0</v>
      </c>
      <c r="M31" s="338">
        <v>0</v>
      </c>
      <c r="N31" s="330"/>
      <c r="O31" s="342">
        <v>0</v>
      </c>
    </row>
    <row r="32" spans="1:15" ht="15.75" thickBot="1" x14ac:dyDescent="0.3">
      <c r="A32" s="345">
        <f t="shared" si="0"/>
        <v>44623</v>
      </c>
      <c r="B32" s="360" t="str">
        <f>TEXT(A32,"ddd")</f>
        <v>Thu</v>
      </c>
      <c r="C32" s="326">
        <v>0</v>
      </c>
      <c r="D32" s="326">
        <v>0</v>
      </c>
      <c r="E32" s="326">
        <v>0</v>
      </c>
      <c r="F32" s="326">
        <v>0</v>
      </c>
      <c r="G32" s="326">
        <v>0</v>
      </c>
      <c r="H32" s="326">
        <v>0</v>
      </c>
      <c r="I32" s="329">
        <v>0</v>
      </c>
      <c r="J32" s="330"/>
      <c r="K32" s="333">
        <v>0</v>
      </c>
      <c r="L32" s="336">
        <v>0</v>
      </c>
      <c r="M32" s="340">
        <v>0</v>
      </c>
      <c r="N32" s="330"/>
      <c r="O32" s="343">
        <v>0</v>
      </c>
    </row>
    <row r="33" spans="1:15" ht="15.75" thickBot="1" x14ac:dyDescent="0.3">
      <c r="C33" s="211"/>
      <c r="D33" s="211"/>
      <c r="E33" s="211"/>
      <c r="F33" s="211"/>
      <c r="G33" s="211"/>
      <c r="H33" s="211"/>
      <c r="I33" s="211"/>
    </row>
    <row r="34" spans="1:15" ht="15.75" thickBot="1" x14ac:dyDescent="0.3">
      <c r="A34" s="346" t="s">
        <v>77</v>
      </c>
      <c r="B34" s="347"/>
      <c r="C34" s="348">
        <f t="shared" ref="C34:I34" si="1">SUM(C2:C33)</f>
        <v>65593.399999999994</v>
      </c>
      <c r="D34" s="348">
        <f t="shared" si="1"/>
        <v>0</v>
      </c>
      <c r="E34" s="348">
        <f t="shared" si="1"/>
        <v>732</v>
      </c>
      <c r="F34" s="348">
        <f t="shared" si="1"/>
        <v>4437.32</v>
      </c>
      <c r="G34" s="348">
        <f t="shared" si="1"/>
        <v>0</v>
      </c>
      <c r="H34" s="348">
        <f t="shared" si="1"/>
        <v>2000.1</v>
      </c>
      <c r="I34" s="349">
        <f t="shared" si="1"/>
        <v>0</v>
      </c>
      <c r="J34" s="60"/>
      <c r="K34" s="350">
        <f>Pool!AJ57</f>
        <v>0</v>
      </c>
      <c r="L34" s="351">
        <f>Pool!AJ58</f>
        <v>0</v>
      </c>
      <c r="M34" s="352">
        <f>Pool!AJ59</f>
        <v>0</v>
      </c>
      <c r="N34" s="102"/>
      <c r="O34" s="353">
        <f>SUM(O2:O33)</f>
        <v>6660</v>
      </c>
    </row>
    <row r="37" spans="1:15" x14ac:dyDescent="0.25">
      <c r="A37" s="354" t="s">
        <v>152</v>
      </c>
      <c r="B37" s="354"/>
      <c r="C37" s="354"/>
      <c r="D37" s="354"/>
      <c r="E37" s="354"/>
    </row>
    <row r="38" spans="1:15" x14ac:dyDescent="0.25">
      <c r="A38" s="354"/>
      <c r="B38" s="354"/>
      <c r="C38" s="354" t="s">
        <v>153</v>
      </c>
      <c r="D38" s="354">
        <v>100</v>
      </c>
      <c r="E38" s="354"/>
    </row>
    <row r="39" spans="1:15" x14ac:dyDescent="0.25">
      <c r="A39" s="354"/>
      <c r="B39" s="355" t="s">
        <v>154</v>
      </c>
      <c r="C39" s="355" t="s">
        <v>155</v>
      </c>
      <c r="D39" s="355">
        <v>-10</v>
      </c>
      <c r="E39" s="354"/>
    </row>
    <row r="40" spans="1:15" x14ac:dyDescent="0.25">
      <c r="A40" s="354"/>
      <c r="B40" s="354"/>
      <c r="C40" s="354"/>
      <c r="D40" s="354">
        <v>90</v>
      </c>
      <c r="E40" s="354"/>
    </row>
    <row r="41" spans="1:15" x14ac:dyDescent="0.25">
      <c r="A41" s="354"/>
      <c r="B41" s="356" t="s">
        <v>156</v>
      </c>
      <c r="C41" s="356" t="s">
        <v>58</v>
      </c>
      <c r="D41" s="356">
        <v>20</v>
      </c>
      <c r="E41" s="354"/>
    </row>
    <row r="42" spans="1:15" x14ac:dyDescent="0.25">
      <c r="A42" s="354"/>
      <c r="B42" s="354"/>
      <c r="C42" s="354"/>
      <c r="D42" s="357">
        <v>110</v>
      </c>
      <c r="E42" s="357" t="s">
        <v>111</v>
      </c>
    </row>
  </sheetData>
  <sheetProtection algorithmName="SHA-512" hashValue="vnxNOtIxFBZQ0LhpRKyJHPfWXkepAgzMN3NB/Bg5mo6m9B6Ulh/XLsht3/8IOWIw/F6O2VC34AoDCKGjn3XT4g==" saltValue="ZnNbsC5pAzH44CEqdoOZww==" spinCount="100000" sheet="1"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3"/>
  <sheetViews>
    <sheetView workbookViewId="0">
      <pane xSplit="2" ySplit="2" topLeftCell="S3" activePane="bottomRight" state="frozen"/>
      <selection pane="topRight" activeCell="C1" sqref="C1"/>
      <selection pane="bottomLeft" activeCell="A3" sqref="A3"/>
      <selection pane="bottomRight" activeCell="AL13" sqref="AL13"/>
    </sheetView>
  </sheetViews>
  <sheetFormatPr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33" width="9.5703125" style="59" bestFit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1.5703125" style="59" bestFit="1" customWidth="1"/>
    <col min="38" max="38" width="11.28515625" style="59" customWidth="1"/>
    <col min="39" max="39" width="11.85546875" style="59" bestFit="1" customWidth="1"/>
    <col min="40" max="16384" width="9.140625" style="59"/>
  </cols>
  <sheetData>
    <row r="1" spans="1:37" ht="15.75" thickBot="1" x14ac:dyDescent="0.3">
      <c r="A1" s="170" t="s">
        <v>122</v>
      </c>
      <c r="B1" s="286" t="str">
        <f>'Cash Flow'!C1</f>
        <v>February</v>
      </c>
      <c r="C1" s="229" t="str">
        <f t="array" ref="C1:AG1">TRANSPOSE('Cash Flow'!B8:B38)</f>
        <v>Tue</v>
      </c>
      <c r="D1" s="229" t="str">
        <v>Wed</v>
      </c>
      <c r="E1" s="229" t="str">
        <v>Thu</v>
      </c>
      <c r="F1" s="229" t="str">
        <v>Fri</v>
      </c>
      <c r="G1" s="229" t="str">
        <v>Sat</v>
      </c>
      <c r="H1" s="229" t="str">
        <v>Sun</v>
      </c>
      <c r="I1" s="229" t="str">
        <v>Mon</v>
      </c>
      <c r="J1" s="229" t="str">
        <v>Tue</v>
      </c>
      <c r="K1" s="229" t="str">
        <v>Wed</v>
      </c>
      <c r="L1" s="229" t="str">
        <v>Thu</v>
      </c>
      <c r="M1" s="229" t="str">
        <v>Fri</v>
      </c>
      <c r="N1" s="229" t="str">
        <v>Sat</v>
      </c>
      <c r="O1" s="229" t="str">
        <v>Sun</v>
      </c>
      <c r="P1" s="229" t="str">
        <v>Mon</v>
      </c>
      <c r="Q1" s="229" t="str">
        <v>Tue</v>
      </c>
      <c r="R1" s="229" t="str">
        <v>Wed</v>
      </c>
      <c r="S1" s="229" t="str">
        <v>Thu</v>
      </c>
      <c r="T1" s="229" t="str">
        <v>Fri</v>
      </c>
      <c r="U1" s="229" t="str">
        <v>Sat</v>
      </c>
      <c r="V1" s="229" t="str">
        <v>Sun</v>
      </c>
      <c r="W1" s="229" t="str">
        <v>Mon</v>
      </c>
      <c r="X1" s="229" t="str">
        <v>Tue</v>
      </c>
      <c r="Y1" s="229" t="str">
        <v>Wed</v>
      </c>
      <c r="Z1" s="229" t="str">
        <v>Thu</v>
      </c>
      <c r="AA1" s="229" t="str">
        <v>Fri</v>
      </c>
      <c r="AB1" s="229" t="str">
        <v>Sat</v>
      </c>
      <c r="AC1" s="229" t="str">
        <v>Sun</v>
      </c>
      <c r="AD1" s="229" t="str">
        <v>Mon</v>
      </c>
      <c r="AE1" s="229" t="str">
        <v>Tue</v>
      </c>
      <c r="AF1" s="229" t="str">
        <v>Wed</v>
      </c>
      <c r="AG1" s="229" t="str">
        <v>Thu</v>
      </c>
    </row>
    <row r="2" spans="1:37" ht="16.5" thickBot="1" x14ac:dyDescent="0.3">
      <c r="A2" s="117" t="s">
        <v>67</v>
      </c>
      <c r="B2" s="118" t="s">
        <v>135</v>
      </c>
      <c r="C2" s="106">
        <f>'Cash Flow'!A8</f>
        <v>44593</v>
      </c>
      <c r="D2" s="106">
        <f t="shared" ref="D2:AG2" si="0">C2+1</f>
        <v>44594</v>
      </c>
      <c r="E2" s="106">
        <f t="shared" si="0"/>
        <v>44595</v>
      </c>
      <c r="F2" s="106">
        <f t="shared" si="0"/>
        <v>44596</v>
      </c>
      <c r="G2" s="106">
        <f t="shared" si="0"/>
        <v>44597</v>
      </c>
      <c r="H2" s="106">
        <f t="shared" si="0"/>
        <v>44598</v>
      </c>
      <c r="I2" s="106">
        <f t="shared" si="0"/>
        <v>44599</v>
      </c>
      <c r="J2" s="106">
        <f t="shared" si="0"/>
        <v>44600</v>
      </c>
      <c r="K2" s="106">
        <f t="shared" si="0"/>
        <v>44601</v>
      </c>
      <c r="L2" s="106">
        <f t="shared" si="0"/>
        <v>44602</v>
      </c>
      <c r="M2" s="106">
        <f t="shared" si="0"/>
        <v>44603</v>
      </c>
      <c r="N2" s="106">
        <f t="shared" si="0"/>
        <v>44604</v>
      </c>
      <c r="O2" s="106">
        <f t="shared" si="0"/>
        <v>44605</v>
      </c>
      <c r="P2" s="106">
        <f t="shared" si="0"/>
        <v>44606</v>
      </c>
      <c r="Q2" s="106">
        <f t="shared" si="0"/>
        <v>44607</v>
      </c>
      <c r="R2" s="106">
        <f t="shared" si="0"/>
        <v>44608</v>
      </c>
      <c r="S2" s="106">
        <f t="shared" si="0"/>
        <v>44609</v>
      </c>
      <c r="T2" s="106">
        <f t="shared" si="0"/>
        <v>44610</v>
      </c>
      <c r="U2" s="106">
        <f t="shared" si="0"/>
        <v>44611</v>
      </c>
      <c r="V2" s="106">
        <f t="shared" si="0"/>
        <v>44612</v>
      </c>
      <c r="W2" s="106">
        <f t="shared" si="0"/>
        <v>44613</v>
      </c>
      <c r="X2" s="106">
        <f t="shared" si="0"/>
        <v>44614</v>
      </c>
      <c r="Y2" s="106">
        <f t="shared" si="0"/>
        <v>44615</v>
      </c>
      <c r="Z2" s="106">
        <f t="shared" si="0"/>
        <v>44616</v>
      </c>
      <c r="AA2" s="106">
        <f t="shared" si="0"/>
        <v>44617</v>
      </c>
      <c r="AB2" s="106">
        <f t="shared" si="0"/>
        <v>44618</v>
      </c>
      <c r="AC2" s="106">
        <f t="shared" si="0"/>
        <v>44619</v>
      </c>
      <c r="AD2" s="106">
        <f t="shared" si="0"/>
        <v>44620</v>
      </c>
      <c r="AE2" s="106">
        <f t="shared" si="0"/>
        <v>44621</v>
      </c>
      <c r="AF2" s="106">
        <f t="shared" si="0"/>
        <v>44622</v>
      </c>
      <c r="AG2" s="106">
        <f t="shared" si="0"/>
        <v>44623</v>
      </c>
      <c r="AH2" s="119" t="s">
        <v>59</v>
      </c>
      <c r="AJ2" s="63" t="s">
        <v>67</v>
      </c>
      <c r="AK2" s="64" t="s">
        <v>135</v>
      </c>
    </row>
    <row r="3" spans="1:37" ht="15.75" x14ac:dyDescent="0.25">
      <c r="A3" s="120" t="s">
        <v>61</v>
      </c>
      <c r="B3" s="121" t="s">
        <v>84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08">
        <f t="shared" ref="AH3:AH17" si="1">SUM(C3:AG3)</f>
        <v>0</v>
      </c>
      <c r="AJ3" s="160" t="s">
        <v>61</v>
      </c>
      <c r="AK3" s="161" t="s">
        <v>84</v>
      </c>
    </row>
    <row r="4" spans="1:37" ht="15.75" x14ac:dyDescent="0.25">
      <c r="A4" s="122" t="s">
        <v>70</v>
      </c>
      <c r="B4" s="123" t="s">
        <v>71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08">
        <f t="shared" si="1"/>
        <v>0</v>
      </c>
      <c r="AJ4" s="162" t="s">
        <v>70</v>
      </c>
      <c r="AK4" s="163" t="s">
        <v>71</v>
      </c>
    </row>
    <row r="5" spans="1:37" ht="15.75" x14ac:dyDescent="0.25">
      <c r="A5" s="122" t="s">
        <v>81</v>
      </c>
      <c r="B5" s="123" t="s">
        <v>83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08">
        <f t="shared" si="1"/>
        <v>0</v>
      </c>
      <c r="AJ5" s="162" t="s">
        <v>81</v>
      </c>
      <c r="AK5" s="163" t="s">
        <v>83</v>
      </c>
    </row>
    <row r="6" spans="1:37" ht="15.75" x14ac:dyDescent="0.25">
      <c r="A6" s="122" t="s">
        <v>80</v>
      </c>
      <c r="B6" s="123" t="s">
        <v>89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08">
        <f t="shared" si="1"/>
        <v>0</v>
      </c>
      <c r="AJ6" s="162" t="s">
        <v>80</v>
      </c>
      <c r="AK6" s="163" t="s">
        <v>89</v>
      </c>
    </row>
    <row r="7" spans="1:37" ht="15.75" x14ac:dyDescent="0.25">
      <c r="A7" s="122" t="s">
        <v>80</v>
      </c>
      <c r="B7" s="123" t="s">
        <v>88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08">
        <f t="shared" si="1"/>
        <v>0</v>
      </c>
      <c r="AJ7" s="162" t="s">
        <v>80</v>
      </c>
      <c r="AK7" s="163" t="s">
        <v>88</v>
      </c>
    </row>
    <row r="8" spans="1:37" ht="15.75" x14ac:dyDescent="0.25">
      <c r="A8" s="122" t="s">
        <v>80</v>
      </c>
      <c r="B8" s="123" t="s">
        <v>82</v>
      </c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08">
        <f t="shared" si="1"/>
        <v>0</v>
      </c>
      <c r="AJ8" s="162" t="s">
        <v>80</v>
      </c>
      <c r="AK8" s="163" t="s">
        <v>82</v>
      </c>
    </row>
    <row r="9" spans="1:37" ht="16.5" thickBot="1" x14ac:dyDescent="0.3">
      <c r="A9" s="446"/>
      <c r="B9" s="445" t="s">
        <v>201</v>
      </c>
      <c r="C9" s="444">
        <f>SUM(C3:C8)</f>
        <v>0</v>
      </c>
      <c r="D9" s="444">
        <f t="shared" ref="D9:AG9" si="2">SUM(D3:D8)</f>
        <v>0</v>
      </c>
      <c r="E9" s="444">
        <f t="shared" si="2"/>
        <v>0</v>
      </c>
      <c r="F9" s="444">
        <f t="shared" si="2"/>
        <v>0</v>
      </c>
      <c r="G9" s="444">
        <f t="shared" si="2"/>
        <v>0</v>
      </c>
      <c r="H9" s="444">
        <f t="shared" si="2"/>
        <v>0</v>
      </c>
      <c r="I9" s="444">
        <f t="shared" si="2"/>
        <v>0</v>
      </c>
      <c r="J9" s="444">
        <f t="shared" si="2"/>
        <v>0</v>
      </c>
      <c r="K9" s="444">
        <f t="shared" si="2"/>
        <v>0</v>
      </c>
      <c r="L9" s="444">
        <f t="shared" si="2"/>
        <v>0</v>
      </c>
      <c r="M9" s="444">
        <f t="shared" si="2"/>
        <v>0</v>
      </c>
      <c r="N9" s="444">
        <f t="shared" si="2"/>
        <v>0</v>
      </c>
      <c r="O9" s="444">
        <f t="shared" si="2"/>
        <v>0</v>
      </c>
      <c r="P9" s="444">
        <f t="shared" si="2"/>
        <v>0</v>
      </c>
      <c r="Q9" s="444">
        <f t="shared" si="2"/>
        <v>0</v>
      </c>
      <c r="R9" s="444">
        <f t="shared" si="2"/>
        <v>0</v>
      </c>
      <c r="S9" s="444">
        <f t="shared" si="2"/>
        <v>0</v>
      </c>
      <c r="T9" s="444">
        <f t="shared" si="2"/>
        <v>0</v>
      </c>
      <c r="U9" s="444">
        <f t="shared" si="2"/>
        <v>0</v>
      </c>
      <c r="V9" s="444">
        <f t="shared" si="2"/>
        <v>0</v>
      </c>
      <c r="W9" s="444">
        <f t="shared" si="2"/>
        <v>0</v>
      </c>
      <c r="X9" s="444">
        <f t="shared" si="2"/>
        <v>0</v>
      </c>
      <c r="Y9" s="444">
        <f t="shared" si="2"/>
        <v>0</v>
      </c>
      <c r="Z9" s="444">
        <f t="shared" si="2"/>
        <v>0</v>
      </c>
      <c r="AA9" s="444">
        <f t="shared" si="2"/>
        <v>0</v>
      </c>
      <c r="AB9" s="444">
        <f t="shared" si="2"/>
        <v>0</v>
      </c>
      <c r="AC9" s="444">
        <f t="shared" si="2"/>
        <v>0</v>
      </c>
      <c r="AD9" s="444">
        <f t="shared" si="2"/>
        <v>0</v>
      </c>
      <c r="AE9" s="444">
        <f t="shared" si="2"/>
        <v>0</v>
      </c>
      <c r="AF9" s="444">
        <f t="shared" si="2"/>
        <v>0</v>
      </c>
      <c r="AG9" s="444">
        <f t="shared" si="2"/>
        <v>0</v>
      </c>
      <c r="AH9" s="443">
        <f t="shared" si="1"/>
        <v>0</v>
      </c>
      <c r="AJ9" s="162"/>
      <c r="AK9" s="163"/>
    </row>
    <row r="10" spans="1:37" ht="15.75" x14ac:dyDescent="0.25">
      <c r="A10" s="442" t="s">
        <v>61</v>
      </c>
      <c r="B10" s="441" t="s">
        <v>84</v>
      </c>
      <c r="C10" s="440"/>
      <c r="D10" s="107"/>
      <c r="E10" s="439"/>
      <c r="F10" s="439"/>
      <c r="G10" s="439"/>
      <c r="H10" s="439"/>
      <c r="I10" s="439"/>
      <c r="J10" s="439"/>
      <c r="K10" s="439"/>
      <c r="L10" s="439"/>
      <c r="M10" s="439"/>
      <c r="N10" s="439"/>
      <c r="O10" s="439"/>
      <c r="P10" s="439"/>
      <c r="Q10" s="439"/>
      <c r="R10" s="439"/>
      <c r="S10" s="439"/>
      <c r="T10" s="439"/>
      <c r="U10" s="439"/>
      <c r="V10" s="439"/>
      <c r="W10" s="439"/>
      <c r="X10" s="439"/>
      <c r="Y10" s="439"/>
      <c r="Z10" s="439"/>
      <c r="AA10" s="439"/>
      <c r="AB10" s="439"/>
      <c r="AC10" s="439"/>
      <c r="AD10" s="439"/>
      <c r="AE10" s="439"/>
      <c r="AF10" s="439"/>
      <c r="AG10" s="439"/>
      <c r="AH10" s="438">
        <f t="shared" si="1"/>
        <v>0</v>
      </c>
      <c r="AJ10" s="436"/>
      <c r="AK10" s="435"/>
    </row>
    <row r="11" spans="1:37" ht="15.75" x14ac:dyDescent="0.25">
      <c r="A11" s="122" t="s">
        <v>70</v>
      </c>
      <c r="B11" s="123" t="s">
        <v>71</v>
      </c>
      <c r="C11" s="437"/>
      <c r="D11" s="125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432">
        <f t="shared" si="1"/>
        <v>0</v>
      </c>
      <c r="AJ11" s="436"/>
      <c r="AK11" s="435"/>
    </row>
    <row r="12" spans="1:37" ht="15.75" x14ac:dyDescent="0.25">
      <c r="A12" s="122" t="s">
        <v>81</v>
      </c>
      <c r="B12" s="123" t="s">
        <v>83</v>
      </c>
      <c r="C12" s="437"/>
      <c r="D12" s="125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432">
        <f t="shared" si="1"/>
        <v>0</v>
      </c>
      <c r="AJ12" s="436"/>
      <c r="AK12" s="435"/>
    </row>
    <row r="13" spans="1:37" ht="15.75" x14ac:dyDescent="0.25">
      <c r="A13" s="122" t="s">
        <v>80</v>
      </c>
      <c r="B13" s="123" t="s">
        <v>89</v>
      </c>
      <c r="C13" s="437"/>
      <c r="D13" s="125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432">
        <f t="shared" si="1"/>
        <v>0</v>
      </c>
      <c r="AJ13" s="436"/>
      <c r="AK13" s="435"/>
    </row>
    <row r="14" spans="1:37" ht="15.75" x14ac:dyDescent="0.25">
      <c r="A14" s="122" t="s">
        <v>80</v>
      </c>
      <c r="B14" s="123" t="s">
        <v>88</v>
      </c>
      <c r="C14" s="437"/>
      <c r="D14" s="125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432">
        <f t="shared" si="1"/>
        <v>0</v>
      </c>
      <c r="AJ14" s="436"/>
      <c r="AK14" s="435"/>
    </row>
    <row r="15" spans="1:37" ht="15.75" x14ac:dyDescent="0.25">
      <c r="A15" s="122" t="s">
        <v>80</v>
      </c>
      <c r="B15" s="123" t="s">
        <v>82</v>
      </c>
      <c r="C15" s="437"/>
      <c r="D15" s="125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432">
        <f t="shared" si="1"/>
        <v>0</v>
      </c>
      <c r="AJ15" s="436"/>
      <c r="AK15" s="435"/>
    </row>
    <row r="16" spans="1:37" ht="16.5" thickBot="1" x14ac:dyDescent="0.3">
      <c r="A16" s="132"/>
      <c r="B16" s="434" t="s">
        <v>200</v>
      </c>
      <c r="C16" s="433">
        <f>SUM(C10:C15)</f>
        <v>0</v>
      </c>
      <c r="D16" s="433">
        <f t="shared" ref="D16:AG16" si="3">SUM(D10:D15)</f>
        <v>0</v>
      </c>
      <c r="E16" s="433">
        <f t="shared" si="3"/>
        <v>0</v>
      </c>
      <c r="F16" s="433">
        <f t="shared" si="3"/>
        <v>0</v>
      </c>
      <c r="G16" s="433">
        <f t="shared" si="3"/>
        <v>0</v>
      </c>
      <c r="H16" s="433">
        <f t="shared" si="3"/>
        <v>0</v>
      </c>
      <c r="I16" s="433">
        <f t="shared" si="3"/>
        <v>0</v>
      </c>
      <c r="J16" s="433">
        <f t="shared" si="3"/>
        <v>0</v>
      </c>
      <c r="K16" s="433">
        <f t="shared" si="3"/>
        <v>0</v>
      </c>
      <c r="L16" s="433">
        <f t="shared" si="3"/>
        <v>0</v>
      </c>
      <c r="M16" s="433">
        <f t="shared" si="3"/>
        <v>0</v>
      </c>
      <c r="N16" s="433">
        <f t="shared" si="3"/>
        <v>0</v>
      </c>
      <c r="O16" s="433">
        <f t="shared" si="3"/>
        <v>0</v>
      </c>
      <c r="P16" s="433">
        <f t="shared" si="3"/>
        <v>0</v>
      </c>
      <c r="Q16" s="433">
        <f t="shared" si="3"/>
        <v>0</v>
      </c>
      <c r="R16" s="433">
        <f t="shared" si="3"/>
        <v>0</v>
      </c>
      <c r="S16" s="433">
        <f t="shared" si="3"/>
        <v>0</v>
      </c>
      <c r="T16" s="433">
        <f t="shared" si="3"/>
        <v>0</v>
      </c>
      <c r="U16" s="433">
        <f t="shared" si="3"/>
        <v>0</v>
      </c>
      <c r="V16" s="433">
        <f t="shared" si="3"/>
        <v>0</v>
      </c>
      <c r="W16" s="433">
        <f t="shared" si="3"/>
        <v>0</v>
      </c>
      <c r="X16" s="433">
        <f t="shared" si="3"/>
        <v>0</v>
      </c>
      <c r="Y16" s="433">
        <f t="shared" si="3"/>
        <v>0</v>
      </c>
      <c r="Z16" s="433">
        <f t="shared" si="3"/>
        <v>0</v>
      </c>
      <c r="AA16" s="433">
        <f t="shared" si="3"/>
        <v>0</v>
      </c>
      <c r="AB16" s="433">
        <f t="shared" si="3"/>
        <v>0</v>
      </c>
      <c r="AC16" s="433">
        <f t="shared" si="3"/>
        <v>0</v>
      </c>
      <c r="AD16" s="433">
        <f t="shared" si="3"/>
        <v>0</v>
      </c>
      <c r="AE16" s="433">
        <f t="shared" si="3"/>
        <v>0</v>
      </c>
      <c r="AF16" s="433">
        <f t="shared" si="3"/>
        <v>0</v>
      </c>
      <c r="AG16" s="433">
        <f t="shared" si="3"/>
        <v>0</v>
      </c>
      <c r="AH16" s="432">
        <f t="shared" si="1"/>
        <v>0</v>
      </c>
      <c r="AJ16" s="77"/>
      <c r="AK16" s="78"/>
    </row>
    <row r="17" spans="1:40" x14ac:dyDescent="0.25">
      <c r="A17" s="134"/>
      <c r="B17" s="422" t="s">
        <v>65</v>
      </c>
      <c r="C17" s="421">
        <f>SUM(C3:C8,C10:C15)</f>
        <v>0</v>
      </c>
      <c r="D17" s="421">
        <f t="shared" ref="D17:AG17" si="4">SUM(D3:D8,D10:D15)</f>
        <v>0</v>
      </c>
      <c r="E17" s="421">
        <f t="shared" si="4"/>
        <v>0</v>
      </c>
      <c r="F17" s="421">
        <f t="shared" si="4"/>
        <v>0</v>
      </c>
      <c r="G17" s="421">
        <f t="shared" si="4"/>
        <v>0</v>
      </c>
      <c r="H17" s="421">
        <f t="shared" si="4"/>
        <v>0</v>
      </c>
      <c r="I17" s="421">
        <f t="shared" si="4"/>
        <v>0</v>
      </c>
      <c r="J17" s="421">
        <f t="shared" si="4"/>
        <v>0</v>
      </c>
      <c r="K17" s="421">
        <f t="shared" si="4"/>
        <v>0</v>
      </c>
      <c r="L17" s="421">
        <f t="shared" si="4"/>
        <v>0</v>
      </c>
      <c r="M17" s="421">
        <f t="shared" si="4"/>
        <v>0</v>
      </c>
      <c r="N17" s="421">
        <f t="shared" si="4"/>
        <v>0</v>
      </c>
      <c r="O17" s="421">
        <f t="shared" si="4"/>
        <v>0</v>
      </c>
      <c r="P17" s="421">
        <f t="shared" si="4"/>
        <v>0</v>
      </c>
      <c r="Q17" s="421">
        <f t="shared" si="4"/>
        <v>0</v>
      </c>
      <c r="R17" s="421">
        <f t="shared" si="4"/>
        <v>0</v>
      </c>
      <c r="S17" s="421">
        <f t="shared" si="4"/>
        <v>0</v>
      </c>
      <c r="T17" s="421">
        <f t="shared" si="4"/>
        <v>0</v>
      </c>
      <c r="U17" s="421">
        <f t="shared" si="4"/>
        <v>0</v>
      </c>
      <c r="V17" s="421">
        <f t="shared" si="4"/>
        <v>0</v>
      </c>
      <c r="W17" s="421">
        <f t="shared" si="4"/>
        <v>0</v>
      </c>
      <c r="X17" s="421">
        <f t="shared" si="4"/>
        <v>0</v>
      </c>
      <c r="Y17" s="421">
        <f t="shared" si="4"/>
        <v>0</v>
      </c>
      <c r="Z17" s="421">
        <f t="shared" si="4"/>
        <v>0</v>
      </c>
      <c r="AA17" s="421">
        <f t="shared" si="4"/>
        <v>0</v>
      </c>
      <c r="AB17" s="421">
        <f t="shared" si="4"/>
        <v>0</v>
      </c>
      <c r="AC17" s="421">
        <f t="shared" si="4"/>
        <v>0</v>
      </c>
      <c r="AD17" s="421">
        <f t="shared" si="4"/>
        <v>0</v>
      </c>
      <c r="AE17" s="421">
        <f t="shared" si="4"/>
        <v>0</v>
      </c>
      <c r="AF17" s="421">
        <f t="shared" si="4"/>
        <v>0</v>
      </c>
      <c r="AG17" s="421">
        <f t="shared" si="4"/>
        <v>0</v>
      </c>
      <c r="AH17" s="109">
        <f t="shared" si="1"/>
        <v>0</v>
      </c>
      <c r="AJ17" s="83"/>
      <c r="AK17" s="84" t="s">
        <v>65</v>
      </c>
    </row>
    <row r="18" spans="1:40" ht="15.75" thickBot="1" x14ac:dyDescent="0.3">
      <c r="A18" s="287"/>
      <c r="B18" s="288"/>
      <c r="C18" s="289"/>
      <c r="D18" s="289"/>
      <c r="E18" s="289"/>
      <c r="F18" s="289"/>
      <c r="G18" s="289"/>
      <c r="H18" s="289"/>
      <c r="I18" s="289"/>
      <c r="J18" s="289"/>
      <c r="K18" s="289"/>
      <c r="L18" s="289"/>
      <c r="M18" s="289"/>
      <c r="N18" s="289"/>
      <c r="O18" s="289"/>
      <c r="P18" s="289"/>
      <c r="Q18" s="289"/>
      <c r="R18" s="289"/>
      <c r="S18" s="289"/>
      <c r="T18" s="289"/>
      <c r="U18" s="289"/>
      <c r="V18" s="289"/>
      <c r="W18" s="289"/>
      <c r="X18" s="289"/>
      <c r="Y18" s="289"/>
      <c r="Z18" s="289"/>
      <c r="AA18" s="289"/>
      <c r="AB18" s="289"/>
      <c r="AC18" s="289"/>
      <c r="AD18" s="289"/>
      <c r="AE18" s="289"/>
      <c r="AF18" s="289"/>
      <c r="AG18" s="289"/>
      <c r="AH18" s="290"/>
      <c r="AJ18" s="191"/>
      <c r="AK18" s="191"/>
    </row>
    <row r="19" spans="1:40" ht="16.5" thickBot="1" x14ac:dyDescent="0.3">
      <c r="A19" s="86"/>
      <c r="B19" s="87"/>
      <c r="C19" s="88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431"/>
      <c r="AJ19" s="475" t="s">
        <v>134</v>
      </c>
      <c r="AK19" s="476"/>
      <c r="AL19" s="476"/>
      <c r="AM19" s="477"/>
    </row>
    <row r="20" spans="1:40" ht="16.5" thickBot="1" x14ac:dyDescent="0.3">
      <c r="A20" s="371" t="str">
        <f>'[1]TEMP Summary'!A12</f>
        <v>01-00-1000</v>
      </c>
      <c r="B20" s="374" t="s">
        <v>199</v>
      </c>
      <c r="C20" s="447"/>
      <c r="D20" s="448"/>
      <c r="E20" s="448"/>
      <c r="F20" s="448"/>
      <c r="G20" s="448"/>
      <c r="H20" s="448"/>
      <c r="I20" s="448"/>
      <c r="J20" s="448"/>
      <c r="K20" s="448"/>
      <c r="L20" s="448"/>
      <c r="M20" s="448"/>
      <c r="N20" s="448"/>
      <c r="O20" s="448"/>
      <c r="P20" s="448"/>
      <c r="Q20" s="448"/>
      <c r="R20" s="448"/>
      <c r="S20" s="448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430"/>
      <c r="AH20" s="429">
        <f t="shared" ref="AH20:AH25" si="5">SUM(C20:AG20)</f>
        <v>0</v>
      </c>
      <c r="AJ20" s="283" t="s">
        <v>67</v>
      </c>
      <c r="AK20" s="284" t="s">
        <v>135</v>
      </c>
      <c r="AL20" s="284" t="s">
        <v>127</v>
      </c>
      <c r="AM20" s="285" t="s">
        <v>128</v>
      </c>
    </row>
    <row r="21" spans="1:40" ht="16.5" thickBot="1" x14ac:dyDescent="0.3">
      <c r="A21" s="372" t="str">
        <f>'[1]TEMP Summary'!A13</f>
        <v>01-00-1000</v>
      </c>
      <c r="B21" s="375" t="s">
        <v>198</v>
      </c>
      <c r="C21" s="449"/>
      <c r="D21" s="450"/>
      <c r="E21" s="450"/>
      <c r="F21" s="450"/>
      <c r="G21" s="450"/>
      <c r="H21" s="450"/>
      <c r="I21" s="450"/>
      <c r="J21" s="450"/>
      <c r="K21" s="450"/>
      <c r="L21" s="450"/>
      <c r="M21" s="450"/>
      <c r="N21" s="450"/>
      <c r="O21" s="450"/>
      <c r="P21" s="450"/>
      <c r="Q21" s="450"/>
      <c r="R21" s="450"/>
      <c r="S21" s="450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428"/>
      <c r="AH21" s="427">
        <f t="shared" si="5"/>
        <v>0</v>
      </c>
      <c r="AJ21" s="361"/>
      <c r="AK21" s="362"/>
      <c r="AL21" s="362"/>
      <c r="AM21" s="363"/>
    </row>
    <row r="22" spans="1:40" ht="15.75" x14ac:dyDescent="0.25">
      <c r="A22" s="372" t="str">
        <f>'[1]TEMP Summary'!A14</f>
        <v>01-00-1000</v>
      </c>
      <c r="B22" s="375" t="s">
        <v>197</v>
      </c>
      <c r="C22" s="449"/>
      <c r="D22" s="450"/>
      <c r="E22" s="450"/>
      <c r="F22" s="450"/>
      <c r="G22" s="450"/>
      <c r="H22" s="450"/>
      <c r="I22" s="450"/>
      <c r="J22" s="450"/>
      <c r="K22" s="450"/>
      <c r="L22" s="450"/>
      <c r="M22" s="450"/>
      <c r="N22" s="450"/>
      <c r="O22" s="450"/>
      <c r="P22" s="450"/>
      <c r="Q22" s="450"/>
      <c r="R22" s="450"/>
      <c r="S22" s="450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428"/>
      <c r="AH22" s="427">
        <f t="shared" si="5"/>
        <v>0</v>
      </c>
      <c r="AJ22" s="126" t="s">
        <v>60</v>
      </c>
      <c r="AK22" s="127" t="s">
        <v>54</v>
      </c>
      <c r="AL22" s="291"/>
      <c r="AM22" s="292"/>
    </row>
    <row r="23" spans="1:40" ht="15.75" x14ac:dyDescent="0.25">
      <c r="A23" s="372" t="str">
        <f>'[1]TEMP Summary'!A15</f>
        <v>01-00-1000</v>
      </c>
      <c r="B23" s="375" t="s">
        <v>196</v>
      </c>
      <c r="C23" s="449"/>
      <c r="D23" s="450"/>
      <c r="E23" s="450"/>
      <c r="F23" s="450"/>
      <c r="G23" s="450"/>
      <c r="H23" s="450"/>
      <c r="I23" s="450"/>
      <c r="J23" s="450"/>
      <c r="K23" s="450"/>
      <c r="L23" s="450"/>
      <c r="M23" s="450"/>
      <c r="N23" s="450"/>
      <c r="O23" s="450"/>
      <c r="P23" s="450"/>
      <c r="Q23" s="450"/>
      <c r="R23" s="450"/>
      <c r="S23" s="450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5"/>
      <c r="AG23" s="428"/>
      <c r="AH23" s="427">
        <f t="shared" si="5"/>
        <v>0</v>
      </c>
      <c r="AJ23" s="129" t="s">
        <v>60</v>
      </c>
      <c r="AK23" s="130" t="s">
        <v>55</v>
      </c>
      <c r="AL23" s="293"/>
      <c r="AM23" s="294"/>
    </row>
    <row r="24" spans="1:40" ht="16.5" thickBot="1" x14ac:dyDescent="0.3">
      <c r="A24" s="373" t="s">
        <v>85</v>
      </c>
      <c r="B24" s="368" t="s">
        <v>33</v>
      </c>
      <c r="C24" s="369"/>
      <c r="D24" s="370"/>
      <c r="E24" s="370"/>
      <c r="F24" s="370"/>
      <c r="G24" s="370"/>
      <c r="H24" s="370"/>
      <c r="I24" s="370"/>
      <c r="J24" s="370"/>
      <c r="K24" s="370"/>
      <c r="L24" s="370"/>
      <c r="M24" s="370"/>
      <c r="N24" s="370"/>
      <c r="O24" s="370"/>
      <c r="P24" s="370"/>
      <c r="Q24" s="370"/>
      <c r="R24" s="370"/>
      <c r="S24" s="370"/>
      <c r="T24" s="370"/>
      <c r="U24" s="370"/>
      <c r="V24" s="370"/>
      <c r="W24" s="370"/>
      <c r="X24" s="370"/>
      <c r="Y24" s="370"/>
      <c r="Z24" s="370"/>
      <c r="AA24" s="370"/>
      <c r="AB24" s="370"/>
      <c r="AC24" s="370"/>
      <c r="AD24" s="370"/>
      <c r="AE24" s="370"/>
      <c r="AF24" s="370"/>
      <c r="AG24" s="426"/>
      <c r="AH24" s="425">
        <f t="shared" si="5"/>
        <v>0</v>
      </c>
      <c r="AJ24" s="364"/>
      <c r="AK24" s="365"/>
      <c r="AL24" s="366"/>
      <c r="AM24" s="367"/>
    </row>
    <row r="25" spans="1:40" ht="16.5" thickBot="1" x14ac:dyDescent="0.3">
      <c r="A25" s="137"/>
      <c r="B25" s="138" t="s">
        <v>66</v>
      </c>
      <c r="C25" s="113">
        <f t="shared" ref="C25:AG25" si="6">SUM(C20:C23)</f>
        <v>0</v>
      </c>
      <c r="D25" s="113">
        <f t="shared" si="6"/>
        <v>0</v>
      </c>
      <c r="E25" s="113">
        <f t="shared" si="6"/>
        <v>0</v>
      </c>
      <c r="F25" s="113">
        <f t="shared" si="6"/>
        <v>0</v>
      </c>
      <c r="G25" s="113">
        <f t="shared" si="6"/>
        <v>0</v>
      </c>
      <c r="H25" s="113">
        <f t="shared" si="6"/>
        <v>0</v>
      </c>
      <c r="I25" s="113">
        <f t="shared" si="6"/>
        <v>0</v>
      </c>
      <c r="J25" s="113">
        <f t="shared" si="6"/>
        <v>0</v>
      </c>
      <c r="K25" s="113">
        <f t="shared" si="6"/>
        <v>0</v>
      </c>
      <c r="L25" s="113">
        <f t="shared" si="6"/>
        <v>0</v>
      </c>
      <c r="M25" s="113">
        <f t="shared" si="6"/>
        <v>0</v>
      </c>
      <c r="N25" s="113">
        <f t="shared" si="6"/>
        <v>0</v>
      </c>
      <c r="O25" s="113">
        <f t="shared" si="6"/>
        <v>0</v>
      </c>
      <c r="P25" s="113">
        <f t="shared" si="6"/>
        <v>0</v>
      </c>
      <c r="Q25" s="113">
        <f t="shared" si="6"/>
        <v>0</v>
      </c>
      <c r="R25" s="113">
        <f t="shared" si="6"/>
        <v>0</v>
      </c>
      <c r="S25" s="113">
        <f t="shared" si="6"/>
        <v>0</v>
      </c>
      <c r="T25" s="113">
        <f t="shared" si="6"/>
        <v>0</v>
      </c>
      <c r="U25" s="113">
        <f t="shared" si="6"/>
        <v>0</v>
      </c>
      <c r="V25" s="113">
        <f t="shared" si="6"/>
        <v>0</v>
      </c>
      <c r="W25" s="113">
        <f t="shared" si="6"/>
        <v>0</v>
      </c>
      <c r="X25" s="113">
        <f t="shared" si="6"/>
        <v>0</v>
      </c>
      <c r="Y25" s="113">
        <f t="shared" si="6"/>
        <v>0</v>
      </c>
      <c r="Z25" s="113">
        <f t="shared" si="6"/>
        <v>0</v>
      </c>
      <c r="AA25" s="113">
        <f t="shared" si="6"/>
        <v>0</v>
      </c>
      <c r="AB25" s="113">
        <f t="shared" si="6"/>
        <v>0</v>
      </c>
      <c r="AC25" s="113">
        <f t="shared" si="6"/>
        <v>0</v>
      </c>
      <c r="AD25" s="113">
        <f t="shared" si="6"/>
        <v>0</v>
      </c>
      <c r="AE25" s="113">
        <f t="shared" si="6"/>
        <v>0</v>
      </c>
      <c r="AF25" s="113">
        <f t="shared" si="6"/>
        <v>0</v>
      </c>
      <c r="AG25" s="113">
        <f t="shared" si="6"/>
        <v>0</v>
      </c>
      <c r="AH25" s="424">
        <f t="shared" si="5"/>
        <v>0</v>
      </c>
      <c r="AJ25" s="135" t="s">
        <v>85</v>
      </c>
      <c r="AK25" s="136" t="s">
        <v>33</v>
      </c>
      <c r="AL25" s="295"/>
      <c r="AM25" s="296"/>
      <c r="AN25" s="116" t="s">
        <v>136</v>
      </c>
    </row>
    <row r="26" spans="1:40" ht="16.5" thickBot="1" x14ac:dyDescent="0.3">
      <c r="A26" s="95"/>
      <c r="B26" s="96"/>
      <c r="C26" s="97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8"/>
      <c r="AJ26" s="464" t="s">
        <v>77</v>
      </c>
      <c r="AK26" s="478"/>
      <c r="AL26" s="479">
        <f>SUM(AL22:AM25)</f>
        <v>0</v>
      </c>
      <c r="AM26" s="480"/>
      <c r="AN26" s="297">
        <f>AL26-AH26</f>
        <v>0</v>
      </c>
    </row>
    <row r="27" spans="1:40" ht="15.75" x14ac:dyDescent="0.25">
      <c r="A27" s="423"/>
      <c r="B27" s="422" t="s">
        <v>195</v>
      </c>
      <c r="C27" s="421">
        <f t="shared" ref="C27:AG27" si="7">SUM(C3:C8)-(C20+C22)</f>
        <v>0</v>
      </c>
      <c r="D27" s="421">
        <f t="shared" si="7"/>
        <v>0</v>
      </c>
      <c r="E27" s="421">
        <f t="shared" si="7"/>
        <v>0</v>
      </c>
      <c r="F27" s="421">
        <f t="shared" si="7"/>
        <v>0</v>
      </c>
      <c r="G27" s="421">
        <f t="shared" si="7"/>
        <v>0</v>
      </c>
      <c r="H27" s="421">
        <f t="shared" si="7"/>
        <v>0</v>
      </c>
      <c r="I27" s="421">
        <f t="shared" si="7"/>
        <v>0</v>
      </c>
      <c r="J27" s="421">
        <f t="shared" si="7"/>
        <v>0</v>
      </c>
      <c r="K27" s="421">
        <f t="shared" si="7"/>
        <v>0</v>
      </c>
      <c r="L27" s="421">
        <f t="shared" si="7"/>
        <v>0</v>
      </c>
      <c r="M27" s="421">
        <f t="shared" si="7"/>
        <v>0</v>
      </c>
      <c r="N27" s="421">
        <f t="shared" si="7"/>
        <v>0</v>
      </c>
      <c r="O27" s="421">
        <f t="shared" si="7"/>
        <v>0</v>
      </c>
      <c r="P27" s="421">
        <f t="shared" si="7"/>
        <v>0</v>
      </c>
      <c r="Q27" s="421">
        <f t="shared" si="7"/>
        <v>0</v>
      </c>
      <c r="R27" s="421">
        <f t="shared" si="7"/>
        <v>0</v>
      </c>
      <c r="S27" s="421">
        <f t="shared" si="7"/>
        <v>0</v>
      </c>
      <c r="T27" s="421">
        <f t="shared" si="7"/>
        <v>0</v>
      </c>
      <c r="U27" s="421">
        <f t="shared" si="7"/>
        <v>0</v>
      </c>
      <c r="V27" s="421">
        <f t="shared" si="7"/>
        <v>0</v>
      </c>
      <c r="W27" s="421">
        <f t="shared" si="7"/>
        <v>0</v>
      </c>
      <c r="X27" s="421">
        <f t="shared" si="7"/>
        <v>0</v>
      </c>
      <c r="Y27" s="421">
        <f t="shared" si="7"/>
        <v>0</v>
      </c>
      <c r="Z27" s="421">
        <f t="shared" si="7"/>
        <v>0</v>
      </c>
      <c r="AA27" s="421">
        <f t="shared" si="7"/>
        <v>0</v>
      </c>
      <c r="AB27" s="421">
        <f t="shared" si="7"/>
        <v>0</v>
      </c>
      <c r="AC27" s="421">
        <f t="shared" si="7"/>
        <v>0</v>
      </c>
      <c r="AD27" s="421">
        <f t="shared" si="7"/>
        <v>0</v>
      </c>
      <c r="AE27" s="421">
        <f t="shared" si="7"/>
        <v>0</v>
      </c>
      <c r="AF27" s="421">
        <f t="shared" si="7"/>
        <v>0</v>
      </c>
      <c r="AG27" s="421">
        <f t="shared" si="7"/>
        <v>0</v>
      </c>
      <c r="AH27" s="110">
        <f>SUM(C27:AG27)</f>
        <v>0</v>
      </c>
    </row>
    <row r="28" spans="1:40" ht="16.5" thickBot="1" x14ac:dyDescent="0.3">
      <c r="A28" s="420"/>
      <c r="B28" s="183" t="s">
        <v>194</v>
      </c>
      <c r="C28" s="419">
        <f t="shared" ref="C28:AG28" si="8">SUM(C10:C15)-(C21+C23)</f>
        <v>0</v>
      </c>
      <c r="D28" s="419">
        <f t="shared" si="8"/>
        <v>0</v>
      </c>
      <c r="E28" s="419">
        <f t="shared" si="8"/>
        <v>0</v>
      </c>
      <c r="F28" s="419">
        <f t="shared" si="8"/>
        <v>0</v>
      </c>
      <c r="G28" s="419">
        <f t="shared" si="8"/>
        <v>0</v>
      </c>
      <c r="H28" s="419">
        <f t="shared" si="8"/>
        <v>0</v>
      </c>
      <c r="I28" s="419">
        <f t="shared" si="8"/>
        <v>0</v>
      </c>
      <c r="J28" s="419">
        <f t="shared" si="8"/>
        <v>0</v>
      </c>
      <c r="K28" s="419">
        <f t="shared" si="8"/>
        <v>0</v>
      </c>
      <c r="L28" s="419">
        <f t="shared" si="8"/>
        <v>0</v>
      </c>
      <c r="M28" s="419">
        <f t="shared" si="8"/>
        <v>0</v>
      </c>
      <c r="N28" s="419">
        <f t="shared" si="8"/>
        <v>0</v>
      </c>
      <c r="O28" s="419">
        <f t="shared" si="8"/>
        <v>0</v>
      </c>
      <c r="P28" s="419">
        <f t="shared" si="8"/>
        <v>0</v>
      </c>
      <c r="Q28" s="419">
        <f t="shared" si="8"/>
        <v>0</v>
      </c>
      <c r="R28" s="419">
        <f t="shared" si="8"/>
        <v>0</v>
      </c>
      <c r="S28" s="419">
        <f t="shared" si="8"/>
        <v>0</v>
      </c>
      <c r="T28" s="419">
        <f t="shared" si="8"/>
        <v>0</v>
      </c>
      <c r="U28" s="419">
        <f t="shared" si="8"/>
        <v>0</v>
      </c>
      <c r="V28" s="419">
        <f t="shared" si="8"/>
        <v>0</v>
      </c>
      <c r="W28" s="419">
        <f t="shared" si="8"/>
        <v>0</v>
      </c>
      <c r="X28" s="419">
        <f t="shared" si="8"/>
        <v>0</v>
      </c>
      <c r="Y28" s="419">
        <f t="shared" si="8"/>
        <v>0</v>
      </c>
      <c r="Z28" s="419">
        <f t="shared" si="8"/>
        <v>0</v>
      </c>
      <c r="AA28" s="419">
        <f t="shared" si="8"/>
        <v>0</v>
      </c>
      <c r="AB28" s="419">
        <f t="shared" si="8"/>
        <v>0</v>
      </c>
      <c r="AC28" s="419">
        <f t="shared" si="8"/>
        <v>0</v>
      </c>
      <c r="AD28" s="419">
        <f t="shared" si="8"/>
        <v>0</v>
      </c>
      <c r="AE28" s="419">
        <f t="shared" si="8"/>
        <v>0</v>
      </c>
      <c r="AF28" s="419">
        <f t="shared" si="8"/>
        <v>0</v>
      </c>
      <c r="AG28" s="419">
        <f t="shared" si="8"/>
        <v>0</v>
      </c>
      <c r="AH28" s="112">
        <f>SUM(C28:AG28)</f>
        <v>0</v>
      </c>
    </row>
    <row r="29" spans="1:40" ht="16.5" thickBot="1" x14ac:dyDescent="0.3"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1"/>
    </row>
    <row r="30" spans="1:40" ht="16.5" thickBot="1" x14ac:dyDescent="0.3">
      <c r="A30" s="164"/>
      <c r="B30" s="165" t="s">
        <v>57</v>
      </c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  <c r="AB30" s="166"/>
      <c r="AC30" s="166"/>
      <c r="AD30" s="166"/>
      <c r="AE30" s="166"/>
      <c r="AF30" s="166"/>
      <c r="AG30" s="166"/>
      <c r="AH30" s="167"/>
      <c r="AJ30" s="473" t="s">
        <v>57</v>
      </c>
      <c r="AK30" s="474"/>
    </row>
    <row r="31" spans="1:40" x14ac:dyDescent="0.25">
      <c r="A31" s="168"/>
      <c r="B31" s="139" t="s">
        <v>72</v>
      </c>
      <c r="C31" s="144">
        <f>'[1]TEMP Summary'!$T$22</f>
        <v>0</v>
      </c>
      <c r="D31" s="144">
        <f>'[1]TEMP Summary'!$T$22</f>
        <v>0</v>
      </c>
      <c r="E31" s="144">
        <f>'[1]TEMP Summary'!$T$22</f>
        <v>0</v>
      </c>
      <c r="F31" s="144">
        <f>'[1]TEMP Summary'!$T$22</f>
        <v>0</v>
      </c>
      <c r="G31" s="144">
        <f>'[1]TEMP Summary'!$T$22</f>
        <v>0</v>
      </c>
      <c r="H31" s="144">
        <f>'[1]TEMP Summary'!$T$22</f>
        <v>0</v>
      </c>
      <c r="I31" s="144">
        <f>'[1]TEMP Summary'!$T$22</f>
        <v>0</v>
      </c>
      <c r="J31" s="144">
        <f>'[1]TEMP Summary'!$T$22</f>
        <v>0</v>
      </c>
      <c r="K31" s="144">
        <f>'[1]TEMP Summary'!$T$22</f>
        <v>0</v>
      </c>
      <c r="L31" s="144">
        <f>'[1]TEMP Summary'!$T$22</f>
        <v>0</v>
      </c>
      <c r="M31" s="144">
        <f>'[1]TEMP Summary'!$T$22</f>
        <v>0</v>
      </c>
      <c r="N31" s="144">
        <f>'[1]TEMP Summary'!$T$22</f>
        <v>0</v>
      </c>
      <c r="O31" s="144">
        <f>'[1]TEMP Summary'!$T$22</f>
        <v>0</v>
      </c>
      <c r="P31" s="144">
        <f>'[1]TEMP Summary'!$T$22</f>
        <v>0</v>
      </c>
      <c r="Q31" s="144">
        <f>'[1]TEMP Summary'!$T$22</f>
        <v>0</v>
      </c>
      <c r="R31" s="144">
        <f>'[1]TEMP Summary'!$T$22</f>
        <v>0</v>
      </c>
      <c r="S31" s="144">
        <f>'[1]TEMP Summary'!$T$22</f>
        <v>0</v>
      </c>
      <c r="T31" s="144">
        <f>'[1]TEMP Summary'!$T$22</f>
        <v>0</v>
      </c>
      <c r="U31" s="144">
        <f>'[1]TEMP Summary'!$T$22</f>
        <v>0</v>
      </c>
      <c r="V31" s="144">
        <f>'[1]TEMP Summary'!$T$22</f>
        <v>0</v>
      </c>
      <c r="W31" s="144">
        <f>'[1]TEMP Summary'!$T$22</f>
        <v>0</v>
      </c>
      <c r="X31" s="144">
        <f>'[1]TEMP Summary'!$T$22</f>
        <v>0</v>
      </c>
      <c r="Y31" s="144">
        <f>'[1]TEMP Summary'!$T$22</f>
        <v>0</v>
      </c>
      <c r="Z31" s="144">
        <f>'[1]TEMP Summary'!$T$22</f>
        <v>0</v>
      </c>
      <c r="AA31" s="144">
        <f>'[1]TEMP Summary'!$T$22</f>
        <v>0</v>
      </c>
      <c r="AB31" s="144">
        <f>'[1]TEMP Summary'!$T$22</f>
        <v>0</v>
      </c>
      <c r="AC31" s="144">
        <f>'[1]TEMP Summary'!$T$22</f>
        <v>0</v>
      </c>
      <c r="AD31" s="144">
        <f>'[1]TEMP Summary'!$T$22</f>
        <v>0</v>
      </c>
      <c r="AE31" s="144">
        <f>'[1]TEMP Summary'!$T$22</f>
        <v>0</v>
      </c>
      <c r="AF31" s="144">
        <f>'[1]TEMP Summary'!$T$22</f>
        <v>0</v>
      </c>
      <c r="AG31" s="144">
        <f>'[1]TEMP Summary'!$T$22</f>
        <v>0</v>
      </c>
      <c r="AH31" s="418">
        <f t="shared" ref="AH31:AH42" si="9">SUM(C31:AG31)</f>
        <v>0</v>
      </c>
      <c r="AJ31" s="258">
        <f>AH31+AH37</f>
        <v>0</v>
      </c>
      <c r="AK31" s="259" t="s">
        <v>72</v>
      </c>
    </row>
    <row r="32" spans="1:40" x14ac:dyDescent="0.25">
      <c r="A32" s="168"/>
      <c r="B32" s="143" t="s">
        <v>73</v>
      </c>
      <c r="C32" s="144">
        <f>'[1]TEMP Summary'!$T$22</f>
        <v>0</v>
      </c>
      <c r="D32" s="144">
        <f>'[1]TEMP Summary'!$T$22</f>
        <v>0</v>
      </c>
      <c r="E32" s="144">
        <f>'[1]TEMP Summary'!$T$22</f>
        <v>0</v>
      </c>
      <c r="F32" s="144">
        <f>'[1]TEMP Summary'!$T$22</f>
        <v>0</v>
      </c>
      <c r="G32" s="144">
        <f>'[1]TEMP Summary'!$T$22</f>
        <v>0</v>
      </c>
      <c r="H32" s="144">
        <f>'[1]TEMP Summary'!$T$22</f>
        <v>0</v>
      </c>
      <c r="I32" s="144">
        <f>'[1]TEMP Summary'!$T$22</f>
        <v>0</v>
      </c>
      <c r="J32" s="144">
        <f>'[1]TEMP Summary'!$T$22</f>
        <v>0</v>
      </c>
      <c r="K32" s="144">
        <f>'[1]TEMP Summary'!$T$22</f>
        <v>0</v>
      </c>
      <c r="L32" s="144">
        <f>'[1]TEMP Summary'!$T$22</f>
        <v>0</v>
      </c>
      <c r="M32" s="144">
        <f>'[1]TEMP Summary'!$T$22</f>
        <v>0</v>
      </c>
      <c r="N32" s="144">
        <f>'[1]TEMP Summary'!$T$22</f>
        <v>0</v>
      </c>
      <c r="O32" s="144">
        <f>'[1]TEMP Summary'!$T$22</f>
        <v>0</v>
      </c>
      <c r="P32" s="144">
        <f>'[1]TEMP Summary'!$T$22</f>
        <v>0</v>
      </c>
      <c r="Q32" s="144">
        <f>'[1]TEMP Summary'!$T$22</f>
        <v>0</v>
      </c>
      <c r="R32" s="144">
        <f>'[1]TEMP Summary'!$T$22</f>
        <v>0</v>
      </c>
      <c r="S32" s="144">
        <f>'[1]TEMP Summary'!$T$22</f>
        <v>0</v>
      </c>
      <c r="T32" s="144">
        <f>'[1]TEMP Summary'!$T$22</f>
        <v>0</v>
      </c>
      <c r="U32" s="144">
        <f>'[1]TEMP Summary'!$T$22</f>
        <v>0</v>
      </c>
      <c r="V32" s="144">
        <f>'[1]TEMP Summary'!$T$22</f>
        <v>0</v>
      </c>
      <c r="W32" s="144">
        <f>'[1]TEMP Summary'!$T$22</f>
        <v>0</v>
      </c>
      <c r="X32" s="144">
        <f>'[1]TEMP Summary'!$T$22</f>
        <v>0</v>
      </c>
      <c r="Y32" s="144">
        <f>'[1]TEMP Summary'!$T$22</f>
        <v>0</v>
      </c>
      <c r="Z32" s="144">
        <f>'[1]TEMP Summary'!$T$22</f>
        <v>0</v>
      </c>
      <c r="AA32" s="144">
        <f>'[1]TEMP Summary'!$T$22</f>
        <v>0</v>
      </c>
      <c r="AB32" s="144">
        <f>'[1]TEMP Summary'!$T$22</f>
        <v>0</v>
      </c>
      <c r="AC32" s="144">
        <f>'[1]TEMP Summary'!$T$22</f>
        <v>0</v>
      </c>
      <c r="AD32" s="144">
        <f>'[1]TEMP Summary'!$T$22</f>
        <v>0</v>
      </c>
      <c r="AE32" s="144">
        <f>'[1]TEMP Summary'!$T$22</f>
        <v>0</v>
      </c>
      <c r="AF32" s="144">
        <f>'[1]TEMP Summary'!$T$22</f>
        <v>0</v>
      </c>
      <c r="AG32" s="144">
        <f>'[1]TEMP Summary'!$T$22</f>
        <v>0</v>
      </c>
      <c r="AH32" s="417">
        <f t="shared" si="9"/>
        <v>0</v>
      </c>
      <c r="AJ32" s="258">
        <f>AH32+AH38</f>
        <v>0</v>
      </c>
      <c r="AK32" s="259" t="s">
        <v>73</v>
      </c>
    </row>
    <row r="33" spans="1:37" x14ac:dyDescent="0.25">
      <c r="A33" s="168"/>
      <c r="B33" s="143" t="s">
        <v>74</v>
      </c>
      <c r="C33" s="144">
        <f>'[1]TEMP Summary'!$T$22</f>
        <v>0</v>
      </c>
      <c r="D33" s="144">
        <f>'[1]TEMP Summary'!$T$22</f>
        <v>0</v>
      </c>
      <c r="E33" s="144">
        <f>'[1]TEMP Summary'!$T$22</f>
        <v>0</v>
      </c>
      <c r="F33" s="144">
        <f>'[1]TEMP Summary'!$T$22</f>
        <v>0</v>
      </c>
      <c r="G33" s="144">
        <f>'[1]TEMP Summary'!$T$22</f>
        <v>0</v>
      </c>
      <c r="H33" s="144">
        <f>'[1]TEMP Summary'!$T$22</f>
        <v>0</v>
      </c>
      <c r="I33" s="144">
        <f>'[1]TEMP Summary'!$T$22</f>
        <v>0</v>
      </c>
      <c r="J33" s="144">
        <f>'[1]TEMP Summary'!$T$22</f>
        <v>0</v>
      </c>
      <c r="K33" s="144">
        <f>'[1]TEMP Summary'!$T$22</f>
        <v>0</v>
      </c>
      <c r="L33" s="144">
        <f>'[1]TEMP Summary'!$T$22</f>
        <v>0</v>
      </c>
      <c r="M33" s="144">
        <f>'[1]TEMP Summary'!$T$22</f>
        <v>0</v>
      </c>
      <c r="N33" s="144">
        <f>'[1]TEMP Summary'!$T$22</f>
        <v>0</v>
      </c>
      <c r="O33" s="144">
        <f>'[1]TEMP Summary'!$T$22</f>
        <v>0</v>
      </c>
      <c r="P33" s="144">
        <f>'[1]TEMP Summary'!$T$22</f>
        <v>0</v>
      </c>
      <c r="Q33" s="144">
        <f>'[1]TEMP Summary'!$T$22</f>
        <v>0</v>
      </c>
      <c r="R33" s="144">
        <f>'[1]TEMP Summary'!$T$22</f>
        <v>0</v>
      </c>
      <c r="S33" s="144">
        <f>'[1]TEMP Summary'!$T$22</f>
        <v>0</v>
      </c>
      <c r="T33" s="144">
        <f>'[1]TEMP Summary'!$T$22</f>
        <v>0</v>
      </c>
      <c r="U33" s="144">
        <f>'[1]TEMP Summary'!$T$22</f>
        <v>0</v>
      </c>
      <c r="V33" s="144">
        <f>'[1]TEMP Summary'!$T$22</f>
        <v>0</v>
      </c>
      <c r="W33" s="144">
        <f>'[1]TEMP Summary'!$T$22</f>
        <v>0</v>
      </c>
      <c r="X33" s="144">
        <f>'[1]TEMP Summary'!$T$22</f>
        <v>0</v>
      </c>
      <c r="Y33" s="144">
        <f>'[1]TEMP Summary'!$T$22</f>
        <v>0</v>
      </c>
      <c r="Z33" s="144">
        <f>'[1]TEMP Summary'!$T$22</f>
        <v>0</v>
      </c>
      <c r="AA33" s="144">
        <f>'[1]TEMP Summary'!$T$22</f>
        <v>0</v>
      </c>
      <c r="AB33" s="144">
        <f>'[1]TEMP Summary'!$T$22</f>
        <v>0</v>
      </c>
      <c r="AC33" s="144">
        <f>'[1]TEMP Summary'!$T$22</f>
        <v>0</v>
      </c>
      <c r="AD33" s="144">
        <f>'[1]TEMP Summary'!$T$22</f>
        <v>0</v>
      </c>
      <c r="AE33" s="144">
        <f>'[1]TEMP Summary'!$T$22</f>
        <v>0</v>
      </c>
      <c r="AF33" s="144">
        <f>'[1]TEMP Summary'!$T$22</f>
        <v>0</v>
      </c>
      <c r="AG33" s="144">
        <f>'[1]TEMP Summary'!$T$22</f>
        <v>0</v>
      </c>
      <c r="AH33" s="417">
        <f t="shared" si="9"/>
        <v>0</v>
      </c>
      <c r="AJ33" s="258">
        <f>AH33+AH39</f>
        <v>0</v>
      </c>
      <c r="AK33" s="259" t="s">
        <v>74</v>
      </c>
    </row>
    <row r="34" spans="1:37" x14ac:dyDescent="0.25">
      <c r="A34" s="168"/>
      <c r="B34" s="143" t="s">
        <v>75</v>
      </c>
      <c r="C34" s="144">
        <f>'[1]TEMP Summary'!$T$22</f>
        <v>0</v>
      </c>
      <c r="D34" s="144">
        <f>'[1]TEMP Summary'!$T$22</f>
        <v>0</v>
      </c>
      <c r="E34" s="144">
        <f>'[1]TEMP Summary'!$T$22</f>
        <v>0</v>
      </c>
      <c r="F34" s="144">
        <f>'[1]TEMP Summary'!$T$22</f>
        <v>0</v>
      </c>
      <c r="G34" s="144">
        <f>'[1]TEMP Summary'!$T$22</f>
        <v>0</v>
      </c>
      <c r="H34" s="144">
        <f>'[1]TEMP Summary'!$T$22</f>
        <v>0</v>
      </c>
      <c r="I34" s="144">
        <f>'[1]TEMP Summary'!$T$22</f>
        <v>0</v>
      </c>
      <c r="J34" s="144">
        <f>'[1]TEMP Summary'!$T$22</f>
        <v>0</v>
      </c>
      <c r="K34" s="144">
        <f>'[1]TEMP Summary'!$T$22</f>
        <v>0</v>
      </c>
      <c r="L34" s="144">
        <f>'[1]TEMP Summary'!$T$22</f>
        <v>0</v>
      </c>
      <c r="M34" s="144">
        <f>'[1]TEMP Summary'!$T$22</f>
        <v>0</v>
      </c>
      <c r="N34" s="144">
        <f>'[1]TEMP Summary'!$T$22</f>
        <v>0</v>
      </c>
      <c r="O34" s="144">
        <f>'[1]TEMP Summary'!$T$22</f>
        <v>0</v>
      </c>
      <c r="P34" s="144">
        <f>'[1]TEMP Summary'!$T$22</f>
        <v>0</v>
      </c>
      <c r="Q34" s="144">
        <f>'[1]TEMP Summary'!$T$22</f>
        <v>0</v>
      </c>
      <c r="R34" s="144">
        <f>'[1]TEMP Summary'!$T$22</f>
        <v>0</v>
      </c>
      <c r="S34" s="144">
        <f>'[1]TEMP Summary'!$T$22</f>
        <v>0</v>
      </c>
      <c r="T34" s="144">
        <f>'[1]TEMP Summary'!$T$22</f>
        <v>0</v>
      </c>
      <c r="U34" s="144">
        <f>'[1]TEMP Summary'!$T$22</f>
        <v>0</v>
      </c>
      <c r="V34" s="144">
        <f>'[1]TEMP Summary'!$T$22</f>
        <v>0</v>
      </c>
      <c r="W34" s="144">
        <f>'[1]TEMP Summary'!$T$22</f>
        <v>0</v>
      </c>
      <c r="X34" s="144">
        <f>'[1]TEMP Summary'!$T$22</f>
        <v>0</v>
      </c>
      <c r="Y34" s="144">
        <f>'[1]TEMP Summary'!$T$22</f>
        <v>0</v>
      </c>
      <c r="Z34" s="144">
        <f>'[1]TEMP Summary'!$T$22</f>
        <v>0</v>
      </c>
      <c r="AA34" s="144">
        <f>'[1]TEMP Summary'!$T$22</f>
        <v>0</v>
      </c>
      <c r="AB34" s="144">
        <f>'[1]TEMP Summary'!$T$22</f>
        <v>0</v>
      </c>
      <c r="AC34" s="144">
        <f>'[1]TEMP Summary'!$T$22</f>
        <v>0</v>
      </c>
      <c r="AD34" s="144">
        <f>'[1]TEMP Summary'!$T$22</f>
        <v>0</v>
      </c>
      <c r="AE34" s="144">
        <f>'[1]TEMP Summary'!$T$22</f>
        <v>0</v>
      </c>
      <c r="AF34" s="144">
        <f>'[1]TEMP Summary'!$T$22</f>
        <v>0</v>
      </c>
      <c r="AG34" s="144">
        <f>'[1]TEMP Summary'!$T$22</f>
        <v>0</v>
      </c>
      <c r="AH34" s="417">
        <f t="shared" si="9"/>
        <v>0</v>
      </c>
      <c r="AJ34" s="258">
        <f>AH34+AH40</f>
        <v>0</v>
      </c>
      <c r="AK34" s="259" t="s">
        <v>75</v>
      </c>
    </row>
    <row r="35" spans="1:37" x14ac:dyDescent="0.25">
      <c r="A35" s="168"/>
      <c r="B35" s="143" t="s">
        <v>76</v>
      </c>
      <c r="C35" s="144">
        <f>'[1]TEMP Summary'!$T$22</f>
        <v>0</v>
      </c>
      <c r="D35" s="144">
        <f>'[1]TEMP Summary'!$T$22</f>
        <v>0</v>
      </c>
      <c r="E35" s="144">
        <f>'[1]TEMP Summary'!$T$22</f>
        <v>0</v>
      </c>
      <c r="F35" s="144">
        <f>'[1]TEMP Summary'!$T$22</f>
        <v>0</v>
      </c>
      <c r="G35" s="144">
        <f>'[1]TEMP Summary'!$T$22</f>
        <v>0</v>
      </c>
      <c r="H35" s="144">
        <f>'[1]TEMP Summary'!$T$22</f>
        <v>0</v>
      </c>
      <c r="I35" s="144">
        <f>'[1]TEMP Summary'!$T$22</f>
        <v>0</v>
      </c>
      <c r="J35" s="144">
        <f>'[1]TEMP Summary'!$T$22</f>
        <v>0</v>
      </c>
      <c r="K35" s="144">
        <f>'[1]TEMP Summary'!$T$22</f>
        <v>0</v>
      </c>
      <c r="L35" s="144">
        <f>'[1]TEMP Summary'!$T$22</f>
        <v>0</v>
      </c>
      <c r="M35" s="144">
        <f>'[1]TEMP Summary'!$T$22</f>
        <v>0</v>
      </c>
      <c r="N35" s="144">
        <f>'[1]TEMP Summary'!$T$22</f>
        <v>0</v>
      </c>
      <c r="O35" s="144">
        <f>'[1]TEMP Summary'!$T$22</f>
        <v>0</v>
      </c>
      <c r="P35" s="144">
        <f>'[1]TEMP Summary'!$T$22</f>
        <v>0</v>
      </c>
      <c r="Q35" s="144">
        <f>'[1]TEMP Summary'!$T$22</f>
        <v>0</v>
      </c>
      <c r="R35" s="144">
        <f>'[1]TEMP Summary'!$T$22</f>
        <v>0</v>
      </c>
      <c r="S35" s="144">
        <f>'[1]TEMP Summary'!$T$22</f>
        <v>0</v>
      </c>
      <c r="T35" s="144">
        <f>'[1]TEMP Summary'!$T$22</f>
        <v>0</v>
      </c>
      <c r="U35" s="144">
        <f>'[1]TEMP Summary'!$T$22</f>
        <v>0</v>
      </c>
      <c r="V35" s="144">
        <f>'[1]TEMP Summary'!$T$22</f>
        <v>0</v>
      </c>
      <c r="W35" s="144">
        <f>'[1]TEMP Summary'!$T$22</f>
        <v>0</v>
      </c>
      <c r="X35" s="144">
        <f>'[1]TEMP Summary'!$T$22</f>
        <v>0</v>
      </c>
      <c r="Y35" s="144">
        <f>'[1]TEMP Summary'!$T$22</f>
        <v>0</v>
      </c>
      <c r="Z35" s="144">
        <f>'[1]TEMP Summary'!$T$22</f>
        <v>0</v>
      </c>
      <c r="AA35" s="144">
        <f>'[1]TEMP Summary'!$T$22</f>
        <v>0</v>
      </c>
      <c r="AB35" s="144">
        <f>'[1]TEMP Summary'!$T$22</f>
        <v>0</v>
      </c>
      <c r="AC35" s="144">
        <f>'[1]TEMP Summary'!$T$22</f>
        <v>0</v>
      </c>
      <c r="AD35" s="144">
        <f>'[1]TEMP Summary'!$T$22</f>
        <v>0</v>
      </c>
      <c r="AE35" s="144">
        <f>'[1]TEMP Summary'!$T$22</f>
        <v>0</v>
      </c>
      <c r="AF35" s="144">
        <f>'[1]TEMP Summary'!$T$22</f>
        <v>0</v>
      </c>
      <c r="AG35" s="144">
        <f>'[1]TEMP Summary'!$T$22</f>
        <v>0</v>
      </c>
      <c r="AH35" s="417">
        <f t="shared" si="9"/>
        <v>0</v>
      </c>
      <c r="AJ35" s="258">
        <f>AH35+AH41</f>
        <v>0</v>
      </c>
      <c r="AK35" s="259" t="s">
        <v>76</v>
      </c>
    </row>
    <row r="36" spans="1:37" ht="15.75" thickBot="1" x14ac:dyDescent="0.3">
      <c r="A36" s="168"/>
      <c r="B36" s="451" t="s">
        <v>193</v>
      </c>
      <c r="C36" s="452">
        <f t="shared" ref="C36:AG36" si="10">SUM(C31:C35)</f>
        <v>0</v>
      </c>
      <c r="D36" s="453">
        <f t="shared" si="10"/>
        <v>0</v>
      </c>
      <c r="E36" s="453">
        <f t="shared" si="10"/>
        <v>0</v>
      </c>
      <c r="F36" s="453">
        <f t="shared" si="10"/>
        <v>0</v>
      </c>
      <c r="G36" s="453">
        <f t="shared" si="10"/>
        <v>0</v>
      </c>
      <c r="H36" s="453">
        <f t="shared" si="10"/>
        <v>0</v>
      </c>
      <c r="I36" s="453">
        <f t="shared" si="10"/>
        <v>0</v>
      </c>
      <c r="J36" s="453">
        <f t="shared" si="10"/>
        <v>0</v>
      </c>
      <c r="K36" s="453">
        <f t="shared" si="10"/>
        <v>0</v>
      </c>
      <c r="L36" s="453">
        <f t="shared" si="10"/>
        <v>0</v>
      </c>
      <c r="M36" s="453">
        <f t="shared" si="10"/>
        <v>0</v>
      </c>
      <c r="N36" s="453">
        <f t="shared" si="10"/>
        <v>0</v>
      </c>
      <c r="O36" s="453">
        <f t="shared" si="10"/>
        <v>0</v>
      </c>
      <c r="P36" s="453">
        <f t="shared" si="10"/>
        <v>0</v>
      </c>
      <c r="Q36" s="453">
        <f t="shared" si="10"/>
        <v>0</v>
      </c>
      <c r="R36" s="453">
        <f t="shared" si="10"/>
        <v>0</v>
      </c>
      <c r="S36" s="453">
        <f t="shared" si="10"/>
        <v>0</v>
      </c>
      <c r="T36" s="453">
        <f t="shared" si="10"/>
        <v>0</v>
      </c>
      <c r="U36" s="453">
        <f t="shared" si="10"/>
        <v>0</v>
      </c>
      <c r="V36" s="453">
        <f t="shared" si="10"/>
        <v>0</v>
      </c>
      <c r="W36" s="453">
        <f t="shared" si="10"/>
        <v>0</v>
      </c>
      <c r="X36" s="453">
        <f t="shared" si="10"/>
        <v>0</v>
      </c>
      <c r="Y36" s="453">
        <f t="shared" si="10"/>
        <v>0</v>
      </c>
      <c r="Z36" s="453">
        <f t="shared" si="10"/>
        <v>0</v>
      </c>
      <c r="AA36" s="453">
        <f t="shared" si="10"/>
        <v>0</v>
      </c>
      <c r="AB36" s="453">
        <f t="shared" si="10"/>
        <v>0</v>
      </c>
      <c r="AC36" s="453">
        <f t="shared" si="10"/>
        <v>0</v>
      </c>
      <c r="AD36" s="453">
        <f t="shared" si="10"/>
        <v>0</v>
      </c>
      <c r="AE36" s="453">
        <f t="shared" si="10"/>
        <v>0</v>
      </c>
      <c r="AF36" s="453">
        <f t="shared" si="10"/>
        <v>0</v>
      </c>
      <c r="AG36" s="454">
        <f t="shared" si="10"/>
        <v>0</v>
      </c>
      <c r="AH36" s="416">
        <f t="shared" si="9"/>
        <v>0</v>
      </c>
      <c r="AJ36" s="258"/>
      <c r="AK36" s="259"/>
    </row>
    <row r="37" spans="1:37" x14ac:dyDescent="0.25">
      <c r="A37" s="168"/>
      <c r="B37" s="415" t="s">
        <v>72</v>
      </c>
      <c r="C37" s="140">
        <f>'[1]TEMP Summary'!$T$22</f>
        <v>0</v>
      </c>
      <c r="D37" s="140">
        <f>'[1]TEMP Summary'!$T$22</f>
        <v>0</v>
      </c>
      <c r="E37" s="140">
        <f>'[1]TEMP Summary'!$T$22</f>
        <v>0</v>
      </c>
      <c r="F37" s="140">
        <f>'[1]TEMP Summary'!$T$22</f>
        <v>0</v>
      </c>
      <c r="G37" s="140">
        <f>'[1]TEMP Summary'!$T$22</f>
        <v>0</v>
      </c>
      <c r="H37" s="140">
        <f>'[1]TEMP Summary'!$T$22</f>
        <v>0</v>
      </c>
      <c r="I37" s="140">
        <f>'[1]TEMP Summary'!$T$22</f>
        <v>0</v>
      </c>
      <c r="J37" s="140">
        <f>'[1]TEMP Summary'!$T$22</f>
        <v>0</v>
      </c>
      <c r="K37" s="140">
        <f>'[1]TEMP Summary'!$T$22</f>
        <v>0</v>
      </c>
      <c r="L37" s="140">
        <f>'[1]TEMP Summary'!$T$22</f>
        <v>0</v>
      </c>
      <c r="M37" s="140">
        <f>'[1]TEMP Summary'!$T$22</f>
        <v>0</v>
      </c>
      <c r="N37" s="140">
        <f>'[1]TEMP Summary'!$T$22</f>
        <v>0</v>
      </c>
      <c r="O37" s="140">
        <f>'[1]TEMP Summary'!$T$22</f>
        <v>0</v>
      </c>
      <c r="P37" s="140">
        <f>'[1]TEMP Summary'!$T$22</f>
        <v>0</v>
      </c>
      <c r="Q37" s="140">
        <f>'[1]TEMP Summary'!$T$22</f>
        <v>0</v>
      </c>
      <c r="R37" s="140">
        <f>'[1]TEMP Summary'!$T$22</f>
        <v>0</v>
      </c>
      <c r="S37" s="140">
        <f>'[1]TEMP Summary'!$T$22</f>
        <v>0</v>
      </c>
      <c r="T37" s="140">
        <f>'[1]TEMP Summary'!$T$22</f>
        <v>0</v>
      </c>
      <c r="U37" s="140">
        <f>'[1]TEMP Summary'!$T$22</f>
        <v>0</v>
      </c>
      <c r="V37" s="140">
        <f>'[1]TEMP Summary'!$T$22</f>
        <v>0</v>
      </c>
      <c r="W37" s="140">
        <f>'[1]TEMP Summary'!$T$22</f>
        <v>0</v>
      </c>
      <c r="X37" s="140">
        <f>'[1]TEMP Summary'!$T$22</f>
        <v>0</v>
      </c>
      <c r="Y37" s="140">
        <f>'[1]TEMP Summary'!$T$22</f>
        <v>0</v>
      </c>
      <c r="Z37" s="140">
        <f>'[1]TEMP Summary'!$T$22</f>
        <v>0</v>
      </c>
      <c r="AA37" s="140">
        <f>'[1]TEMP Summary'!$T$22</f>
        <v>0</v>
      </c>
      <c r="AB37" s="140">
        <f>'[1]TEMP Summary'!$T$22</f>
        <v>0</v>
      </c>
      <c r="AC37" s="140">
        <f>'[1]TEMP Summary'!$T$22</f>
        <v>0</v>
      </c>
      <c r="AD37" s="140">
        <f>'[1]TEMP Summary'!$T$22</f>
        <v>0</v>
      </c>
      <c r="AE37" s="140">
        <f>'[1]TEMP Summary'!$T$22</f>
        <v>0</v>
      </c>
      <c r="AF37" s="140">
        <f>'[1]TEMP Summary'!$T$22</f>
        <v>0</v>
      </c>
      <c r="AG37" s="141">
        <f>'[1]TEMP Summary'!$T$22</f>
        <v>0</v>
      </c>
      <c r="AH37" s="142">
        <f t="shared" si="9"/>
        <v>0</v>
      </c>
      <c r="AJ37" s="258"/>
      <c r="AK37" s="259"/>
    </row>
    <row r="38" spans="1:37" x14ac:dyDescent="0.25">
      <c r="A38" s="168"/>
      <c r="B38" s="143" t="s">
        <v>73</v>
      </c>
      <c r="C38" s="144">
        <f>'[1]TEMP Summary'!$T$22</f>
        <v>0</v>
      </c>
      <c r="D38" s="144">
        <f>'[1]TEMP Summary'!$T$22</f>
        <v>0</v>
      </c>
      <c r="E38" s="144">
        <f>'[1]TEMP Summary'!$T$22</f>
        <v>0</v>
      </c>
      <c r="F38" s="144">
        <f>'[1]TEMP Summary'!$T$22</f>
        <v>0</v>
      </c>
      <c r="G38" s="144">
        <f>'[1]TEMP Summary'!$T$22</f>
        <v>0</v>
      </c>
      <c r="H38" s="144">
        <f>'[1]TEMP Summary'!$T$22</f>
        <v>0</v>
      </c>
      <c r="I38" s="144">
        <f>'[1]TEMP Summary'!$T$22</f>
        <v>0</v>
      </c>
      <c r="J38" s="144">
        <f>'[1]TEMP Summary'!$T$22</f>
        <v>0</v>
      </c>
      <c r="K38" s="144">
        <f>'[1]TEMP Summary'!$T$22</f>
        <v>0</v>
      </c>
      <c r="L38" s="144">
        <f>'[1]TEMP Summary'!$T$22</f>
        <v>0</v>
      </c>
      <c r="M38" s="144">
        <f>'[1]TEMP Summary'!$T$22</f>
        <v>0</v>
      </c>
      <c r="N38" s="144">
        <f>'[1]TEMP Summary'!$T$22</f>
        <v>0</v>
      </c>
      <c r="O38" s="144">
        <f>'[1]TEMP Summary'!$T$22</f>
        <v>0</v>
      </c>
      <c r="P38" s="144">
        <f>'[1]TEMP Summary'!$T$22</f>
        <v>0</v>
      </c>
      <c r="Q38" s="144">
        <f>'[1]TEMP Summary'!$T$22</f>
        <v>0</v>
      </c>
      <c r="R38" s="144">
        <f>'[1]TEMP Summary'!$T$22</f>
        <v>0</v>
      </c>
      <c r="S38" s="144">
        <f>'[1]TEMP Summary'!$T$22</f>
        <v>0</v>
      </c>
      <c r="T38" s="144">
        <f>'[1]TEMP Summary'!$T$22</f>
        <v>0</v>
      </c>
      <c r="U38" s="144">
        <f>'[1]TEMP Summary'!$T$22</f>
        <v>0</v>
      </c>
      <c r="V38" s="144">
        <f>'[1]TEMP Summary'!$T$22</f>
        <v>0</v>
      </c>
      <c r="W38" s="144">
        <f>'[1]TEMP Summary'!$T$22</f>
        <v>0</v>
      </c>
      <c r="X38" s="144">
        <f>'[1]TEMP Summary'!$T$22</f>
        <v>0</v>
      </c>
      <c r="Y38" s="144">
        <f>'[1]TEMP Summary'!$T$22</f>
        <v>0</v>
      </c>
      <c r="Z38" s="144">
        <f>'[1]TEMP Summary'!$T$22</f>
        <v>0</v>
      </c>
      <c r="AA38" s="144">
        <f>'[1]TEMP Summary'!$T$22</f>
        <v>0</v>
      </c>
      <c r="AB38" s="144">
        <f>'[1]TEMP Summary'!$T$22</f>
        <v>0</v>
      </c>
      <c r="AC38" s="144">
        <f>'[1]TEMP Summary'!$T$22</f>
        <v>0</v>
      </c>
      <c r="AD38" s="144">
        <f>'[1]TEMP Summary'!$T$22</f>
        <v>0</v>
      </c>
      <c r="AE38" s="144">
        <f>'[1]TEMP Summary'!$T$22</f>
        <v>0</v>
      </c>
      <c r="AF38" s="144">
        <f>'[1]TEMP Summary'!$T$22</f>
        <v>0</v>
      </c>
      <c r="AG38" s="145">
        <f>'[1]TEMP Summary'!$T$22</f>
        <v>0</v>
      </c>
      <c r="AH38" s="142">
        <f t="shared" si="9"/>
        <v>0</v>
      </c>
      <c r="AJ38" s="258"/>
      <c r="AK38" s="259"/>
    </row>
    <row r="39" spans="1:37" x14ac:dyDescent="0.25">
      <c r="A39" s="168"/>
      <c r="B39" s="143" t="s">
        <v>74</v>
      </c>
      <c r="C39" s="144">
        <f>'[1]TEMP Summary'!$T$22</f>
        <v>0</v>
      </c>
      <c r="D39" s="144">
        <f>'[1]TEMP Summary'!$T$22</f>
        <v>0</v>
      </c>
      <c r="E39" s="144">
        <f>'[1]TEMP Summary'!$T$22</f>
        <v>0</v>
      </c>
      <c r="F39" s="144">
        <f>'[1]TEMP Summary'!$T$22</f>
        <v>0</v>
      </c>
      <c r="G39" s="144">
        <f>'[1]TEMP Summary'!$T$22</f>
        <v>0</v>
      </c>
      <c r="H39" s="144">
        <f>'[1]TEMP Summary'!$T$22</f>
        <v>0</v>
      </c>
      <c r="I39" s="144">
        <f>'[1]TEMP Summary'!$T$22</f>
        <v>0</v>
      </c>
      <c r="J39" s="144">
        <f>'[1]TEMP Summary'!$T$22</f>
        <v>0</v>
      </c>
      <c r="K39" s="144">
        <f>'[1]TEMP Summary'!$T$22</f>
        <v>0</v>
      </c>
      <c r="L39" s="144">
        <f>'[1]TEMP Summary'!$T$22</f>
        <v>0</v>
      </c>
      <c r="M39" s="144">
        <f>'[1]TEMP Summary'!$T$22</f>
        <v>0</v>
      </c>
      <c r="N39" s="144">
        <f>'[1]TEMP Summary'!$T$22</f>
        <v>0</v>
      </c>
      <c r="O39" s="144">
        <f>'[1]TEMP Summary'!$T$22</f>
        <v>0</v>
      </c>
      <c r="P39" s="144">
        <f>'[1]TEMP Summary'!$T$22</f>
        <v>0</v>
      </c>
      <c r="Q39" s="144">
        <f>'[1]TEMP Summary'!$T$22</f>
        <v>0</v>
      </c>
      <c r="R39" s="144">
        <f>'[1]TEMP Summary'!$T$22</f>
        <v>0</v>
      </c>
      <c r="S39" s="144">
        <f>'[1]TEMP Summary'!$T$22</f>
        <v>0</v>
      </c>
      <c r="T39" s="144">
        <f>'[1]TEMP Summary'!$T$22</f>
        <v>0</v>
      </c>
      <c r="U39" s="144">
        <f>'[1]TEMP Summary'!$T$22</f>
        <v>0</v>
      </c>
      <c r="V39" s="144">
        <f>'[1]TEMP Summary'!$T$22</f>
        <v>0</v>
      </c>
      <c r="W39" s="144">
        <f>'[1]TEMP Summary'!$T$22</f>
        <v>0</v>
      </c>
      <c r="X39" s="144">
        <f>'[1]TEMP Summary'!$T$22</f>
        <v>0</v>
      </c>
      <c r="Y39" s="144">
        <f>'[1]TEMP Summary'!$T$22</f>
        <v>0</v>
      </c>
      <c r="Z39" s="144">
        <f>'[1]TEMP Summary'!$T$22</f>
        <v>0</v>
      </c>
      <c r="AA39" s="144">
        <f>'[1]TEMP Summary'!$T$22</f>
        <v>0</v>
      </c>
      <c r="AB39" s="144">
        <f>'[1]TEMP Summary'!$T$22</f>
        <v>0</v>
      </c>
      <c r="AC39" s="144">
        <f>'[1]TEMP Summary'!$T$22</f>
        <v>0</v>
      </c>
      <c r="AD39" s="144">
        <f>'[1]TEMP Summary'!$T$22</f>
        <v>0</v>
      </c>
      <c r="AE39" s="144">
        <f>'[1]TEMP Summary'!$T$22</f>
        <v>0</v>
      </c>
      <c r="AF39" s="144">
        <f>'[1]TEMP Summary'!$T$22</f>
        <v>0</v>
      </c>
      <c r="AG39" s="145">
        <f>'[1]TEMP Summary'!$T$22</f>
        <v>0</v>
      </c>
      <c r="AH39" s="142">
        <f t="shared" si="9"/>
        <v>0</v>
      </c>
      <c r="AJ39" s="258"/>
      <c r="AK39" s="259"/>
    </row>
    <row r="40" spans="1:37" x14ac:dyDescent="0.25">
      <c r="A40" s="168"/>
      <c r="B40" s="143" t="s">
        <v>75</v>
      </c>
      <c r="C40" s="144">
        <f>'[1]TEMP Summary'!$T$22</f>
        <v>0</v>
      </c>
      <c r="D40" s="144">
        <f>'[1]TEMP Summary'!$T$22</f>
        <v>0</v>
      </c>
      <c r="E40" s="144">
        <f>'[1]TEMP Summary'!$T$22</f>
        <v>0</v>
      </c>
      <c r="F40" s="144">
        <f>'[1]TEMP Summary'!$T$22</f>
        <v>0</v>
      </c>
      <c r="G40" s="144">
        <f>'[1]TEMP Summary'!$T$22</f>
        <v>0</v>
      </c>
      <c r="H40" s="144">
        <f>'[1]TEMP Summary'!$T$22</f>
        <v>0</v>
      </c>
      <c r="I40" s="144">
        <f>'[1]TEMP Summary'!$T$22</f>
        <v>0</v>
      </c>
      <c r="J40" s="144">
        <f>'[1]TEMP Summary'!$T$22</f>
        <v>0</v>
      </c>
      <c r="K40" s="144">
        <f>'[1]TEMP Summary'!$T$22</f>
        <v>0</v>
      </c>
      <c r="L40" s="144">
        <f>'[1]TEMP Summary'!$T$22</f>
        <v>0</v>
      </c>
      <c r="M40" s="144">
        <f>'[1]TEMP Summary'!$T$22</f>
        <v>0</v>
      </c>
      <c r="N40" s="144">
        <f>'[1]TEMP Summary'!$T$22</f>
        <v>0</v>
      </c>
      <c r="O40" s="144">
        <f>'[1]TEMP Summary'!$T$22</f>
        <v>0</v>
      </c>
      <c r="P40" s="144">
        <f>'[1]TEMP Summary'!$T$22</f>
        <v>0</v>
      </c>
      <c r="Q40" s="144">
        <f>'[1]TEMP Summary'!$T$22</f>
        <v>0</v>
      </c>
      <c r="R40" s="144">
        <f>'[1]TEMP Summary'!$T$22</f>
        <v>0</v>
      </c>
      <c r="S40" s="144">
        <f>'[1]TEMP Summary'!$T$22</f>
        <v>0</v>
      </c>
      <c r="T40" s="144">
        <f>'[1]TEMP Summary'!$T$22</f>
        <v>0</v>
      </c>
      <c r="U40" s="144">
        <f>'[1]TEMP Summary'!$T$22</f>
        <v>0</v>
      </c>
      <c r="V40" s="144">
        <f>'[1]TEMP Summary'!$T$22</f>
        <v>0</v>
      </c>
      <c r="W40" s="144">
        <f>'[1]TEMP Summary'!$T$22</f>
        <v>0</v>
      </c>
      <c r="X40" s="144">
        <f>'[1]TEMP Summary'!$T$22</f>
        <v>0</v>
      </c>
      <c r="Y40" s="144">
        <f>'[1]TEMP Summary'!$T$22</f>
        <v>0</v>
      </c>
      <c r="Z40" s="144">
        <f>'[1]TEMP Summary'!$T$22</f>
        <v>0</v>
      </c>
      <c r="AA40" s="144">
        <f>'[1]TEMP Summary'!$T$22</f>
        <v>0</v>
      </c>
      <c r="AB40" s="144">
        <f>'[1]TEMP Summary'!$T$22</f>
        <v>0</v>
      </c>
      <c r="AC40" s="144">
        <f>'[1]TEMP Summary'!$T$22</f>
        <v>0</v>
      </c>
      <c r="AD40" s="144">
        <f>'[1]TEMP Summary'!$T$22</f>
        <v>0</v>
      </c>
      <c r="AE40" s="144">
        <f>'[1]TEMP Summary'!$T$22</f>
        <v>0</v>
      </c>
      <c r="AF40" s="144">
        <f>'[1]TEMP Summary'!$T$22</f>
        <v>0</v>
      </c>
      <c r="AG40" s="145">
        <f>'[1]TEMP Summary'!$T$22</f>
        <v>0</v>
      </c>
      <c r="AH40" s="142">
        <f t="shared" si="9"/>
        <v>0</v>
      </c>
      <c r="AJ40" s="258"/>
      <c r="AK40" s="259"/>
    </row>
    <row r="41" spans="1:37" x14ac:dyDescent="0.25">
      <c r="A41" s="168"/>
      <c r="B41" s="143" t="s">
        <v>76</v>
      </c>
      <c r="C41" s="144">
        <f>'[1]TEMP Summary'!$T$22</f>
        <v>0</v>
      </c>
      <c r="D41" s="144">
        <f>'[1]TEMP Summary'!$T$22</f>
        <v>0</v>
      </c>
      <c r="E41" s="144">
        <f>'[1]TEMP Summary'!$T$22</f>
        <v>0</v>
      </c>
      <c r="F41" s="144">
        <f>'[1]TEMP Summary'!$T$22</f>
        <v>0</v>
      </c>
      <c r="G41" s="144">
        <f>'[1]TEMP Summary'!$T$22</f>
        <v>0</v>
      </c>
      <c r="H41" s="144">
        <f>'[1]TEMP Summary'!$T$22</f>
        <v>0</v>
      </c>
      <c r="I41" s="144">
        <f>'[1]TEMP Summary'!$T$22</f>
        <v>0</v>
      </c>
      <c r="J41" s="144">
        <f>'[1]TEMP Summary'!$T$22</f>
        <v>0</v>
      </c>
      <c r="K41" s="144">
        <f>'[1]TEMP Summary'!$T$22</f>
        <v>0</v>
      </c>
      <c r="L41" s="144">
        <f>'[1]TEMP Summary'!$T$22</f>
        <v>0</v>
      </c>
      <c r="M41" s="144">
        <f>'[1]TEMP Summary'!$T$22</f>
        <v>0</v>
      </c>
      <c r="N41" s="144">
        <f>'[1]TEMP Summary'!$T$22</f>
        <v>0</v>
      </c>
      <c r="O41" s="144">
        <f>'[1]TEMP Summary'!$T$22</f>
        <v>0</v>
      </c>
      <c r="P41" s="144">
        <f>'[1]TEMP Summary'!$T$22</f>
        <v>0</v>
      </c>
      <c r="Q41" s="144">
        <f>'[1]TEMP Summary'!$T$22</f>
        <v>0</v>
      </c>
      <c r="R41" s="144">
        <f>'[1]TEMP Summary'!$T$22</f>
        <v>0</v>
      </c>
      <c r="S41" s="144">
        <f>'[1]TEMP Summary'!$T$22</f>
        <v>0</v>
      </c>
      <c r="T41" s="144">
        <f>'[1]TEMP Summary'!$T$22</f>
        <v>0</v>
      </c>
      <c r="U41" s="144">
        <f>'[1]TEMP Summary'!$T$22</f>
        <v>0</v>
      </c>
      <c r="V41" s="144">
        <f>'[1]TEMP Summary'!$T$22</f>
        <v>0</v>
      </c>
      <c r="W41" s="144">
        <f>'[1]TEMP Summary'!$T$22</f>
        <v>0</v>
      </c>
      <c r="X41" s="144">
        <f>'[1]TEMP Summary'!$T$22</f>
        <v>0</v>
      </c>
      <c r="Y41" s="144">
        <f>'[1]TEMP Summary'!$T$22</f>
        <v>0</v>
      </c>
      <c r="Z41" s="144">
        <f>'[1]TEMP Summary'!$T$22</f>
        <v>0</v>
      </c>
      <c r="AA41" s="144">
        <f>'[1]TEMP Summary'!$T$22</f>
        <v>0</v>
      </c>
      <c r="AB41" s="144">
        <f>'[1]TEMP Summary'!$T$22</f>
        <v>0</v>
      </c>
      <c r="AC41" s="144">
        <f>'[1]TEMP Summary'!$T$22</f>
        <v>0</v>
      </c>
      <c r="AD41" s="144">
        <f>'[1]TEMP Summary'!$T$22</f>
        <v>0</v>
      </c>
      <c r="AE41" s="144">
        <f>'[1]TEMP Summary'!$T$22</f>
        <v>0</v>
      </c>
      <c r="AF41" s="144">
        <f>'[1]TEMP Summary'!$T$22</f>
        <v>0</v>
      </c>
      <c r="AG41" s="145">
        <f>'[1]TEMP Summary'!$T$22</f>
        <v>0</v>
      </c>
      <c r="AH41" s="142">
        <f t="shared" si="9"/>
        <v>0</v>
      </c>
      <c r="AJ41" s="258"/>
      <c r="AK41" s="260"/>
    </row>
    <row r="42" spans="1:37" x14ac:dyDescent="0.25">
      <c r="A42" s="168"/>
      <c r="B42" s="455" t="s">
        <v>192</v>
      </c>
      <c r="C42" s="452">
        <f t="shared" ref="C42:AG42" si="11">SUM(C37:C41)</f>
        <v>0</v>
      </c>
      <c r="D42" s="452">
        <f t="shared" si="11"/>
        <v>0</v>
      </c>
      <c r="E42" s="452">
        <f t="shared" si="11"/>
        <v>0</v>
      </c>
      <c r="F42" s="452">
        <f t="shared" si="11"/>
        <v>0</v>
      </c>
      <c r="G42" s="452">
        <f t="shared" si="11"/>
        <v>0</v>
      </c>
      <c r="H42" s="452">
        <f t="shared" si="11"/>
        <v>0</v>
      </c>
      <c r="I42" s="452">
        <f t="shared" si="11"/>
        <v>0</v>
      </c>
      <c r="J42" s="452">
        <f t="shared" si="11"/>
        <v>0</v>
      </c>
      <c r="K42" s="452">
        <f t="shared" si="11"/>
        <v>0</v>
      </c>
      <c r="L42" s="452">
        <f t="shared" si="11"/>
        <v>0</v>
      </c>
      <c r="M42" s="452">
        <f t="shared" si="11"/>
        <v>0</v>
      </c>
      <c r="N42" s="452">
        <f t="shared" si="11"/>
        <v>0</v>
      </c>
      <c r="O42" s="452">
        <f t="shared" si="11"/>
        <v>0</v>
      </c>
      <c r="P42" s="452">
        <f t="shared" si="11"/>
        <v>0</v>
      </c>
      <c r="Q42" s="452">
        <f t="shared" si="11"/>
        <v>0</v>
      </c>
      <c r="R42" s="452">
        <f t="shared" si="11"/>
        <v>0</v>
      </c>
      <c r="S42" s="452">
        <f t="shared" si="11"/>
        <v>0</v>
      </c>
      <c r="T42" s="452">
        <f t="shared" si="11"/>
        <v>0</v>
      </c>
      <c r="U42" s="452">
        <f t="shared" si="11"/>
        <v>0</v>
      </c>
      <c r="V42" s="452">
        <f t="shared" si="11"/>
        <v>0</v>
      </c>
      <c r="W42" s="452">
        <f t="shared" si="11"/>
        <v>0</v>
      </c>
      <c r="X42" s="452">
        <f t="shared" si="11"/>
        <v>0</v>
      </c>
      <c r="Y42" s="452">
        <f t="shared" si="11"/>
        <v>0</v>
      </c>
      <c r="Z42" s="452">
        <f t="shared" si="11"/>
        <v>0</v>
      </c>
      <c r="AA42" s="452">
        <f t="shared" si="11"/>
        <v>0</v>
      </c>
      <c r="AB42" s="452">
        <f t="shared" si="11"/>
        <v>0</v>
      </c>
      <c r="AC42" s="452">
        <f t="shared" si="11"/>
        <v>0</v>
      </c>
      <c r="AD42" s="452">
        <f t="shared" si="11"/>
        <v>0</v>
      </c>
      <c r="AE42" s="452">
        <f t="shared" si="11"/>
        <v>0</v>
      </c>
      <c r="AF42" s="452">
        <f t="shared" si="11"/>
        <v>0</v>
      </c>
      <c r="AG42" s="454">
        <f t="shared" si="11"/>
        <v>0</v>
      </c>
      <c r="AH42" s="414">
        <f t="shared" si="9"/>
        <v>0</v>
      </c>
      <c r="AJ42" s="413"/>
      <c r="AK42" s="412"/>
    </row>
    <row r="43" spans="1:37" s="170" customFormat="1" ht="15.75" thickBot="1" x14ac:dyDescent="0.3">
      <c r="A43" s="169"/>
      <c r="B43" s="146" t="s">
        <v>77</v>
      </c>
      <c r="C43" s="147">
        <f t="shared" ref="C43:AH43" si="12">SUM(C31:C35,C37:C41)</f>
        <v>0</v>
      </c>
      <c r="D43" s="147">
        <f t="shared" si="12"/>
        <v>0</v>
      </c>
      <c r="E43" s="147">
        <f t="shared" si="12"/>
        <v>0</v>
      </c>
      <c r="F43" s="147">
        <f t="shared" si="12"/>
        <v>0</v>
      </c>
      <c r="G43" s="147">
        <f t="shared" si="12"/>
        <v>0</v>
      </c>
      <c r="H43" s="147">
        <f t="shared" si="12"/>
        <v>0</v>
      </c>
      <c r="I43" s="147">
        <f t="shared" si="12"/>
        <v>0</v>
      </c>
      <c r="J43" s="147">
        <f t="shared" si="12"/>
        <v>0</v>
      </c>
      <c r="K43" s="147">
        <f t="shared" si="12"/>
        <v>0</v>
      </c>
      <c r="L43" s="147">
        <f t="shared" si="12"/>
        <v>0</v>
      </c>
      <c r="M43" s="147">
        <f t="shared" si="12"/>
        <v>0</v>
      </c>
      <c r="N43" s="147">
        <f t="shared" si="12"/>
        <v>0</v>
      </c>
      <c r="O43" s="147">
        <f t="shared" si="12"/>
        <v>0</v>
      </c>
      <c r="P43" s="147">
        <f t="shared" si="12"/>
        <v>0</v>
      </c>
      <c r="Q43" s="147">
        <f t="shared" si="12"/>
        <v>0</v>
      </c>
      <c r="R43" s="147">
        <f t="shared" si="12"/>
        <v>0</v>
      </c>
      <c r="S43" s="147">
        <f t="shared" si="12"/>
        <v>0</v>
      </c>
      <c r="T43" s="147">
        <f t="shared" si="12"/>
        <v>0</v>
      </c>
      <c r="U43" s="147">
        <f t="shared" si="12"/>
        <v>0</v>
      </c>
      <c r="V43" s="147">
        <f t="shared" si="12"/>
        <v>0</v>
      </c>
      <c r="W43" s="147">
        <f t="shared" si="12"/>
        <v>0</v>
      </c>
      <c r="X43" s="147">
        <f t="shared" si="12"/>
        <v>0</v>
      </c>
      <c r="Y43" s="147">
        <f t="shared" si="12"/>
        <v>0</v>
      </c>
      <c r="Z43" s="147">
        <f t="shared" si="12"/>
        <v>0</v>
      </c>
      <c r="AA43" s="147">
        <f t="shared" si="12"/>
        <v>0</v>
      </c>
      <c r="AB43" s="147">
        <f t="shared" si="12"/>
        <v>0</v>
      </c>
      <c r="AC43" s="147">
        <f t="shared" si="12"/>
        <v>0</v>
      </c>
      <c r="AD43" s="147">
        <f t="shared" si="12"/>
        <v>0</v>
      </c>
      <c r="AE43" s="147">
        <f t="shared" si="12"/>
        <v>0</v>
      </c>
      <c r="AF43" s="147">
        <f t="shared" si="12"/>
        <v>0</v>
      </c>
      <c r="AG43" s="263">
        <f t="shared" si="12"/>
        <v>0</v>
      </c>
      <c r="AH43" s="148">
        <f t="shared" si="12"/>
        <v>0</v>
      </c>
      <c r="AJ43" s="261">
        <f>AI43</f>
        <v>0</v>
      </c>
      <c r="AK43" s="262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0:AK30"/>
    <mergeCell ref="AJ19:AM19"/>
    <mergeCell ref="AJ26:AK26"/>
    <mergeCell ref="AL26:AM26"/>
  </mergeCells>
  <conditionalFormatting sqref="C27:AG28">
    <cfRule type="cellIs" dxfId="1" priority="1" operator="notEqual">
      <formula>0</formula>
    </cfRule>
  </conditionalFormatting>
  <conditionalFormatting sqref="C27:AG28">
    <cfRule type="cellIs" dxfId="0" priority="2" operator="notEqual">
      <formula>0</formula>
    </cfRule>
  </conditionalFormatting>
  <pageMargins left="0.25" right="0.25" top="0.75" bottom="0.75" header="0.3" footer="0.3"/>
  <pageSetup paperSize="17" scale="61" fitToHeight="4" orientation="landscape" horizontalDpi="300" verticalDpi="300" r:id="rId1"/>
  <headerFooter>
    <oddFooter>&amp;L&amp;8&amp;Z&amp;F&amp;R&amp;8&amp;A</oddFooter>
  </headerFooter>
  <ignoredErrors>
    <ignoredError sqref="C36 D36:AG36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N21" sqref="N21"/>
    </sheetView>
  </sheetViews>
  <sheetFormatPr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7" t="s">
        <v>122</v>
      </c>
      <c r="B1" s="255" t="str">
        <f>CONCATENATE('Cash Flow'!C1, "  ",'Cash Flow'!D1)</f>
        <v>February  2022</v>
      </c>
    </row>
    <row r="2" spans="1:5" ht="15.75" thickBot="1" x14ac:dyDescent="0.3"/>
    <row r="3" spans="1:5" x14ac:dyDescent="0.25">
      <c r="A3" s="251" t="s">
        <v>61</v>
      </c>
      <c r="B3" s="252" t="s">
        <v>104</v>
      </c>
      <c r="C3" s="128">
        <f>'Box Canon'!AH3+'Box Canon'!AH10</f>
        <v>0</v>
      </c>
      <c r="D3" s="116"/>
    </row>
    <row r="4" spans="1:5" x14ac:dyDescent="0.25">
      <c r="A4" s="253" t="s">
        <v>70</v>
      </c>
      <c r="B4" s="254" t="s">
        <v>71</v>
      </c>
      <c r="C4" s="131">
        <f>'Box Canon'!AH4+'Box Canon'!AH11</f>
        <v>0</v>
      </c>
      <c r="D4" s="116"/>
    </row>
    <row r="5" spans="1:5" x14ac:dyDescent="0.25">
      <c r="A5" s="253" t="s">
        <v>81</v>
      </c>
      <c r="B5" s="254" t="s">
        <v>105</v>
      </c>
      <c r="C5" s="131">
        <f>'Box Canon'!AH5+'Box Canon'!AH12</f>
        <v>0</v>
      </c>
      <c r="D5" s="116"/>
    </row>
    <row r="6" spans="1:5" x14ac:dyDescent="0.25">
      <c r="A6" s="253" t="s">
        <v>80</v>
      </c>
      <c r="B6" s="254" t="s">
        <v>106</v>
      </c>
      <c r="C6" s="131">
        <f>'Box Canon'!AH6+'Box Canon'!AH7+'Box Canon'!AH13+'Box Canon'!AH14</f>
        <v>0</v>
      </c>
      <c r="D6" s="116"/>
    </row>
    <row r="7" spans="1:5" x14ac:dyDescent="0.25">
      <c r="A7" s="253" t="s">
        <v>80</v>
      </c>
      <c r="B7" s="254" t="s">
        <v>82</v>
      </c>
      <c r="C7" s="131">
        <f>'Box Canon'!AH8+'Box Canon'!AH15</f>
        <v>0</v>
      </c>
      <c r="D7" s="116"/>
    </row>
    <row r="8" spans="1:5" x14ac:dyDescent="0.25">
      <c r="A8" s="253"/>
      <c r="B8" s="254"/>
      <c r="C8" s="131"/>
      <c r="D8" s="116"/>
    </row>
    <row r="9" spans="1:5" x14ac:dyDescent="0.25">
      <c r="A9" s="129" t="s">
        <v>85</v>
      </c>
      <c r="B9" s="130" t="s">
        <v>100</v>
      </c>
      <c r="C9" s="131">
        <f>-('Box Canon'!AH27+'Box Canon'!AH28)</f>
        <v>0</v>
      </c>
      <c r="D9" s="116"/>
    </row>
    <row r="10" spans="1:5" ht="15.75" thickBot="1" x14ac:dyDescent="0.3">
      <c r="A10" s="182"/>
      <c r="B10" s="183"/>
      <c r="C10" s="184"/>
      <c r="D10" s="255"/>
      <c r="E10" s="170"/>
    </row>
    <row r="11" spans="1:5" x14ac:dyDescent="0.25">
      <c r="A11" s="116"/>
      <c r="B11" s="249" t="s">
        <v>65</v>
      </c>
      <c r="C11" s="206"/>
      <c r="D11" s="250">
        <f>SUM(C3:C9)</f>
        <v>0</v>
      </c>
    </row>
    <row r="12" spans="1:5" ht="15.75" thickBot="1" x14ac:dyDescent="0.3">
      <c r="C12" s="156"/>
    </row>
    <row r="13" spans="1:5" x14ac:dyDescent="0.25">
      <c r="A13" s="126" t="s">
        <v>60</v>
      </c>
      <c r="B13" s="127" t="s">
        <v>96</v>
      </c>
      <c r="C13" s="128">
        <f>'Box Canon'!AL22</f>
        <v>0</v>
      </c>
    </row>
    <row r="14" spans="1:5" x14ac:dyDescent="0.25">
      <c r="A14" s="129" t="s">
        <v>60</v>
      </c>
      <c r="B14" s="130" t="s">
        <v>98</v>
      </c>
      <c r="C14" s="131">
        <f>'Box Canon'!AM22</f>
        <v>0</v>
      </c>
    </row>
    <row r="15" spans="1:5" x14ac:dyDescent="0.25">
      <c r="A15" s="129" t="s">
        <v>60</v>
      </c>
      <c r="B15" s="130" t="s">
        <v>97</v>
      </c>
      <c r="C15" s="131">
        <f>'Box Canon'!AL23</f>
        <v>0</v>
      </c>
      <c r="E15" s="256">
        <f>D11-D20</f>
        <v>0</v>
      </c>
    </row>
    <row r="16" spans="1:5" x14ac:dyDescent="0.25">
      <c r="A16" s="129" t="s">
        <v>60</v>
      </c>
      <c r="B16" s="130" t="s">
        <v>99</v>
      </c>
      <c r="C16" s="131">
        <f>'Box Canon'!AM23</f>
        <v>0</v>
      </c>
    </row>
    <row r="17" spans="1:4" x14ac:dyDescent="0.25">
      <c r="A17" s="129"/>
      <c r="B17" s="130"/>
      <c r="C17" s="131"/>
    </row>
    <row r="18" spans="1:4" x14ac:dyDescent="0.25">
      <c r="A18" s="129"/>
      <c r="B18" s="130"/>
      <c r="C18" s="131"/>
    </row>
    <row r="19" spans="1:4" ht="15.75" thickBot="1" x14ac:dyDescent="0.3">
      <c r="A19" s="182"/>
      <c r="B19" s="183"/>
      <c r="C19" s="184"/>
      <c r="D19" s="170"/>
    </row>
    <row r="20" spans="1:4" x14ac:dyDescent="0.25">
      <c r="B20" s="249" t="s">
        <v>66</v>
      </c>
      <c r="C20" s="206"/>
      <c r="D20" s="250">
        <f>SUM(C13:C18)</f>
        <v>0</v>
      </c>
    </row>
    <row r="21" spans="1:4" ht="15.75" thickBot="1" x14ac:dyDescent="0.3"/>
    <row r="22" spans="1:4" x14ac:dyDescent="0.25">
      <c r="B22" s="481" t="s">
        <v>57</v>
      </c>
      <c r="C22" s="482"/>
    </row>
    <row r="23" spans="1:4" x14ac:dyDescent="0.25">
      <c r="B23" s="143" t="s">
        <v>72</v>
      </c>
      <c r="C23" s="145">
        <f>'Box Canon'!AJ31</f>
        <v>0</v>
      </c>
    </row>
    <row r="24" spans="1:4" x14ac:dyDescent="0.25">
      <c r="B24" s="143" t="s">
        <v>73</v>
      </c>
      <c r="C24" s="145">
        <f>'Box Canon'!AJ32</f>
        <v>0</v>
      </c>
    </row>
    <row r="25" spans="1:4" x14ac:dyDescent="0.25">
      <c r="B25" s="143" t="s">
        <v>74</v>
      </c>
      <c r="C25" s="145">
        <f>'Box Canon'!AJ33</f>
        <v>0</v>
      </c>
    </row>
    <row r="26" spans="1:4" x14ac:dyDescent="0.25">
      <c r="B26" s="143" t="s">
        <v>75</v>
      </c>
      <c r="C26" s="145">
        <f>'Box Canon'!AJ34</f>
        <v>0</v>
      </c>
    </row>
    <row r="27" spans="1:4" x14ac:dyDescent="0.25">
      <c r="B27" s="143" t="s">
        <v>76</v>
      </c>
      <c r="C27" s="145">
        <f>'Box Canon'!AJ35</f>
        <v>0</v>
      </c>
    </row>
    <row r="28" spans="1:4" x14ac:dyDescent="0.25">
      <c r="B28" s="129"/>
      <c r="C28" s="246"/>
    </row>
    <row r="29" spans="1:4" ht="15.75" thickBot="1" x14ac:dyDescent="0.3">
      <c r="B29" s="247" t="s">
        <v>77</v>
      </c>
      <c r="C29" s="248">
        <f>SUM(C23:C27)</f>
        <v>0</v>
      </c>
    </row>
  </sheetData>
  <sheetProtection algorithmName="SHA-512" hashValue="ONQy+ZOl6U3ZoSgQG6997qUPQP1QG7DrDQ8VQlfeUSct/qvVepEwi9UiMuP8IITENntuT9FGc/dl1zs3Fk7AiQ==" saltValue="vQReU2NnisnJ57VmanoCiw==" spinCount="100000" sheet="1" objects="1" scenarios="1" formatCells="0" formatColumns="0" formatRows="0" insertColumns="0" insertRows="0" insertHyperlinks="0" deleteColumns="0" deleteRows="0" sort="0" autoFilter="0" pivotTables="0"/>
  <mergeCells count="1">
    <mergeCell ref="B22:C22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3"/>
  <sheetViews>
    <sheetView tabSelected="1" topLeftCell="A13" workbookViewId="0">
      <selection activeCell="D21" sqref="D21:F21"/>
    </sheetView>
  </sheetViews>
  <sheetFormatPr defaultRowHeight="15" x14ac:dyDescent="0.25"/>
  <cols>
    <col min="1" max="1" width="10.42578125" style="59" bestFit="1" customWidth="1"/>
    <col min="2" max="2" width="35.140625" style="59" customWidth="1"/>
    <col min="3" max="3" width="17.85546875" style="156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81" customFormat="1" ht="13.5" customHeight="1" x14ac:dyDescent="0.25">
      <c r="A1" s="236" t="s">
        <v>121</v>
      </c>
      <c r="B1" s="179" t="str">
        <f>CONCATENATE('Cash Flow'!C1, "  ",'Cash Flow'!D1)</f>
        <v>February  2022</v>
      </c>
      <c r="C1" s="180"/>
    </row>
    <row r="2" spans="1:6" s="181" customFormat="1" ht="5.0999999999999996" customHeight="1" thickBot="1" x14ac:dyDescent="0.3">
      <c r="A2" s="236"/>
      <c r="B2" s="179"/>
      <c r="C2" s="180"/>
    </row>
    <row r="3" spans="1:6" s="181" customFormat="1" ht="14.1" customHeight="1" thickBot="1" x14ac:dyDescent="0.3">
      <c r="A3" s="484" t="s">
        <v>191</v>
      </c>
      <c r="B3" s="485"/>
      <c r="C3" s="486"/>
    </row>
    <row r="4" spans="1:6" s="181" customFormat="1" ht="24" customHeight="1" x14ac:dyDescent="0.25">
      <c r="A4" s="89" t="s">
        <v>30</v>
      </c>
      <c r="B4" s="84" t="s">
        <v>31</v>
      </c>
      <c r="C4" s="186">
        <f>Pool!AH4+(C13/2)+Pool!AH7+Pool!AH5</f>
        <v>65593.399999999994</v>
      </c>
      <c r="D4" s="490" t="s">
        <v>182</v>
      </c>
      <c r="E4" s="491"/>
      <c r="F4" s="491"/>
    </row>
    <row r="5" spans="1:6" ht="14.1" customHeight="1" x14ac:dyDescent="0.25">
      <c r="A5" s="90" t="s">
        <v>183</v>
      </c>
      <c r="B5" s="91" t="s">
        <v>63</v>
      </c>
      <c r="C5" s="187">
        <f>Pool!AH64</f>
        <v>0</v>
      </c>
      <c r="D5" s="489"/>
      <c r="E5" s="483"/>
      <c r="F5" s="483"/>
    </row>
    <row r="6" spans="1:6" ht="14.1" customHeight="1" x14ac:dyDescent="0.25">
      <c r="A6" s="90" t="s">
        <v>159</v>
      </c>
      <c r="B6" s="91" t="s">
        <v>202</v>
      </c>
      <c r="C6" s="187">
        <f>Pool!AH8</f>
        <v>12442.5</v>
      </c>
      <c r="D6" s="492" t="s">
        <v>205</v>
      </c>
      <c r="E6" s="493"/>
      <c r="F6" s="493"/>
    </row>
    <row r="7" spans="1:6" ht="14.1" customHeight="1" x14ac:dyDescent="0.25">
      <c r="A7" s="90" t="s">
        <v>164</v>
      </c>
      <c r="B7" s="91" t="s">
        <v>165</v>
      </c>
      <c r="C7" s="187">
        <f>Pool!AH9</f>
        <v>0</v>
      </c>
      <c r="D7" s="489"/>
      <c r="E7" s="483"/>
      <c r="F7" s="483"/>
    </row>
    <row r="8" spans="1:6" ht="14.1" customHeight="1" x14ac:dyDescent="0.25">
      <c r="A8" s="90" t="s">
        <v>166</v>
      </c>
      <c r="B8" s="91" t="s">
        <v>176</v>
      </c>
      <c r="C8" s="187">
        <f>Pool!AH10</f>
        <v>0</v>
      </c>
      <c r="D8" s="489"/>
      <c r="E8" s="483"/>
      <c r="F8" s="483"/>
    </row>
    <row r="9" spans="1:6" ht="14.1" customHeight="1" x14ac:dyDescent="0.25">
      <c r="A9" s="90" t="s">
        <v>34</v>
      </c>
      <c r="B9" s="91" t="s">
        <v>35</v>
      </c>
      <c r="C9" s="187">
        <f>Pool!AH14</f>
        <v>732</v>
      </c>
      <c r="D9" s="489"/>
      <c r="E9" s="483"/>
      <c r="F9" s="483"/>
    </row>
    <row r="10" spans="1:6" ht="14.1" customHeight="1" x14ac:dyDescent="0.25">
      <c r="A10" s="90" t="s">
        <v>36</v>
      </c>
      <c r="B10" s="91" t="s">
        <v>37</v>
      </c>
      <c r="C10" s="187">
        <f>Pool!AH15</f>
        <v>4437.32</v>
      </c>
      <c r="D10" s="489"/>
      <c r="E10" s="483"/>
      <c r="F10" s="483"/>
    </row>
    <row r="11" spans="1:6" ht="14.1" customHeight="1" x14ac:dyDescent="0.25">
      <c r="A11" s="90" t="s">
        <v>208</v>
      </c>
      <c r="B11" s="91" t="s">
        <v>116</v>
      </c>
      <c r="C11" s="187">
        <f>Pool!AH16</f>
        <v>0</v>
      </c>
      <c r="D11" s="489"/>
      <c r="E11" s="483"/>
      <c r="F11" s="483"/>
    </row>
    <row r="12" spans="1:6" ht="14.1" customHeight="1" x14ac:dyDescent="0.25">
      <c r="A12" s="90" t="s">
        <v>78</v>
      </c>
      <c r="B12" s="91" t="s">
        <v>203</v>
      </c>
      <c r="C12" s="187">
        <f>Pool!AH17+(C13/2)</f>
        <v>2000.1</v>
      </c>
      <c r="D12" s="489" t="s">
        <v>206</v>
      </c>
      <c r="E12" s="483"/>
      <c r="F12" s="483"/>
    </row>
    <row r="13" spans="1:6" ht="14.1" customHeight="1" x14ac:dyDescent="0.25">
      <c r="A13" s="90"/>
      <c r="B13" s="91" t="s">
        <v>108</v>
      </c>
      <c r="C13" s="208">
        <f>Pool!AH18</f>
        <v>19.2</v>
      </c>
      <c r="D13" s="489" t="s">
        <v>175</v>
      </c>
      <c r="E13" s="483"/>
      <c r="F13" s="483"/>
    </row>
    <row r="14" spans="1:6" ht="14.1" customHeight="1" x14ac:dyDescent="0.25">
      <c r="A14" s="90" t="s">
        <v>38</v>
      </c>
      <c r="B14" s="91" t="s">
        <v>39</v>
      </c>
      <c r="C14" s="187">
        <f>Pool!AH19</f>
        <v>0</v>
      </c>
      <c r="D14" s="489"/>
      <c r="E14" s="483"/>
      <c r="F14" s="483"/>
    </row>
    <row r="15" spans="1:6" ht="14.1" customHeight="1" x14ac:dyDescent="0.25">
      <c r="A15" s="90" t="s">
        <v>40</v>
      </c>
      <c r="B15" s="91" t="s">
        <v>41</v>
      </c>
      <c r="C15" s="187">
        <f>Pool!AH21</f>
        <v>0</v>
      </c>
      <c r="D15" s="489"/>
      <c r="E15" s="483"/>
      <c r="F15" s="483"/>
    </row>
    <row r="16" spans="1:6" ht="14.1" customHeight="1" x14ac:dyDescent="0.25">
      <c r="A16" s="90" t="s">
        <v>168</v>
      </c>
      <c r="B16" s="91" t="s">
        <v>169</v>
      </c>
      <c r="C16" s="187">
        <f>Pool!AH20</f>
        <v>315</v>
      </c>
      <c r="D16" s="489"/>
      <c r="E16" s="483"/>
      <c r="F16" s="483"/>
    </row>
    <row r="17" spans="1:7" ht="14.1" customHeight="1" x14ac:dyDescent="0.25">
      <c r="A17" s="90" t="s">
        <v>42</v>
      </c>
      <c r="B17" s="91" t="s">
        <v>43</v>
      </c>
      <c r="C17" s="187">
        <f>Pool!AH22</f>
        <v>0</v>
      </c>
      <c r="D17" s="489"/>
      <c r="E17" s="483"/>
      <c r="F17" s="483"/>
    </row>
    <row r="18" spans="1:7" ht="14.1" hidden="1" customHeight="1" x14ac:dyDescent="0.25">
      <c r="A18" s="90" t="s">
        <v>44</v>
      </c>
      <c r="B18" s="91" t="s">
        <v>45</v>
      </c>
      <c r="C18" s="187">
        <f>Pool!AH23</f>
        <v>0</v>
      </c>
      <c r="D18" s="489"/>
      <c r="E18" s="483"/>
      <c r="F18" s="483"/>
    </row>
    <row r="19" spans="1:7" ht="14.1" hidden="1" customHeight="1" x14ac:dyDescent="0.25">
      <c r="A19" s="90" t="s">
        <v>46</v>
      </c>
      <c r="B19" s="91" t="s">
        <v>47</v>
      </c>
      <c r="C19" s="187">
        <f>Pool!AH24</f>
        <v>0</v>
      </c>
      <c r="D19" s="489"/>
      <c r="E19" s="483"/>
      <c r="F19" s="483"/>
    </row>
    <row r="20" spans="1:7" ht="14.1" hidden="1" customHeight="1" x14ac:dyDescent="0.25">
      <c r="A20" s="90" t="s">
        <v>48</v>
      </c>
      <c r="B20" s="91" t="s">
        <v>49</v>
      </c>
      <c r="C20" s="187">
        <f>Pool!AH25</f>
        <v>0</v>
      </c>
      <c r="D20" s="489"/>
      <c r="E20" s="483"/>
      <c r="F20" s="483"/>
    </row>
    <row r="21" spans="1:7" ht="14.1" customHeight="1" x14ac:dyDescent="0.25">
      <c r="A21" s="90" t="s">
        <v>50</v>
      </c>
      <c r="B21" s="91" t="s">
        <v>51</v>
      </c>
      <c r="C21" s="187">
        <f>Pool!AH26</f>
        <v>0</v>
      </c>
      <c r="D21" s="489"/>
      <c r="E21" s="483"/>
      <c r="F21" s="483"/>
    </row>
    <row r="22" spans="1:7" ht="14.1" customHeight="1" thickBot="1" x14ac:dyDescent="0.3">
      <c r="A22" s="81" t="s">
        <v>52</v>
      </c>
      <c r="B22" s="94" t="s">
        <v>53</v>
      </c>
      <c r="C22" s="188">
        <f>Pool!AH27</f>
        <v>0</v>
      </c>
      <c r="D22" s="489"/>
      <c r="E22" s="483"/>
      <c r="F22" s="483"/>
    </row>
    <row r="23" spans="1:7" ht="14.1" customHeight="1" x14ac:dyDescent="0.25">
      <c r="A23" s="190"/>
      <c r="B23" s="207" t="s">
        <v>65</v>
      </c>
      <c r="C23" s="189">
        <f>C4+C5+C6+C7+C8+C9+C10+C11+C12+C16</f>
        <v>85520.320000000007</v>
      </c>
      <c r="D23" s="489" t="s">
        <v>179</v>
      </c>
      <c r="E23" s="483"/>
      <c r="F23" s="483"/>
    </row>
    <row r="24" spans="1:7" ht="5.0999999999999996" customHeight="1" thickBot="1" x14ac:dyDescent="0.3">
      <c r="A24" s="116"/>
      <c r="B24" s="116"/>
      <c r="C24" s="116"/>
      <c r="F24" s="211"/>
      <c r="G24" s="211"/>
    </row>
    <row r="25" spans="1:7" ht="14.1" customHeight="1" thickBot="1" x14ac:dyDescent="0.3">
      <c r="A25" s="484" t="s">
        <v>184</v>
      </c>
      <c r="B25" s="485"/>
      <c r="C25" s="486"/>
    </row>
    <row r="26" spans="1:7" ht="14.1" customHeight="1" x14ac:dyDescent="0.25">
      <c r="A26" s="126" t="s">
        <v>61</v>
      </c>
      <c r="B26" s="401" t="s">
        <v>62</v>
      </c>
      <c r="C26" s="402">
        <f>Pool!AH3</f>
        <v>430.34000000000003</v>
      </c>
      <c r="D26" s="489"/>
      <c r="E26" s="483"/>
      <c r="F26" s="483"/>
    </row>
    <row r="27" spans="1:7" ht="14.1" customHeight="1" x14ac:dyDescent="0.25">
      <c r="A27" s="129" t="s">
        <v>160</v>
      </c>
      <c r="B27" s="403" t="s">
        <v>161</v>
      </c>
      <c r="C27" s="405">
        <f>Pool!AH11</f>
        <v>0</v>
      </c>
      <c r="D27" s="489" t="s">
        <v>189</v>
      </c>
      <c r="E27" s="483"/>
      <c r="F27" s="483"/>
    </row>
    <row r="28" spans="1:7" ht="14.1" customHeight="1" x14ac:dyDescent="0.25">
      <c r="A28" s="129" t="s">
        <v>171</v>
      </c>
      <c r="B28" s="403" t="s">
        <v>172</v>
      </c>
      <c r="C28" s="405">
        <f>Pool!AH12</f>
        <v>0</v>
      </c>
      <c r="D28" s="489" t="s">
        <v>177</v>
      </c>
      <c r="E28" s="483"/>
      <c r="F28" s="483"/>
    </row>
    <row r="29" spans="1:7" ht="14.1" customHeight="1" x14ac:dyDescent="0.25">
      <c r="A29" s="129" t="s">
        <v>173</v>
      </c>
      <c r="B29" s="403" t="s">
        <v>174</v>
      </c>
      <c r="C29" s="405">
        <f>Pool!AH13</f>
        <v>0</v>
      </c>
      <c r="D29" s="489" t="s">
        <v>178</v>
      </c>
      <c r="E29" s="483"/>
      <c r="F29" s="483"/>
    </row>
    <row r="30" spans="1:7" ht="14.1" customHeight="1" thickBot="1" x14ac:dyDescent="0.3">
      <c r="A30" s="135" t="s">
        <v>114</v>
      </c>
      <c r="B30" s="404" t="s">
        <v>87</v>
      </c>
      <c r="C30" s="406">
        <f>Pool!AH28</f>
        <v>74</v>
      </c>
      <c r="D30" s="489" t="s">
        <v>185</v>
      </c>
      <c r="E30" s="483"/>
      <c r="F30" s="483"/>
    </row>
    <row r="31" spans="1:7" ht="14.1" customHeight="1" x14ac:dyDescent="0.25">
      <c r="A31" s="116"/>
      <c r="B31" s="407" t="s">
        <v>186</v>
      </c>
      <c r="C31" s="408">
        <f>SUM(C26:C30)</f>
        <v>504.34000000000003</v>
      </c>
      <c r="F31" s="211"/>
    </row>
    <row r="32" spans="1:7" ht="5.0999999999999996" customHeight="1" x14ac:dyDescent="0.25">
      <c r="A32" s="116"/>
      <c r="B32" s="409"/>
      <c r="C32" s="408"/>
      <c r="F32" s="211"/>
    </row>
    <row r="33" spans="1:6" ht="14.1" customHeight="1" x14ac:dyDescent="0.25">
      <c r="A33" s="116"/>
      <c r="B33" s="410" t="s">
        <v>187</v>
      </c>
      <c r="C33" s="411">
        <f>C31+C23</f>
        <v>86024.66</v>
      </c>
      <c r="D33" s="483" t="s">
        <v>188</v>
      </c>
      <c r="E33" s="483"/>
      <c r="F33" s="483"/>
    </row>
    <row r="34" spans="1:6" ht="5.0999999999999996" customHeight="1" thickBot="1" x14ac:dyDescent="0.3">
      <c r="A34" s="116"/>
      <c r="B34" s="116"/>
      <c r="C34" s="116"/>
    </row>
    <row r="35" spans="1:6" ht="14.1" customHeight="1" thickBot="1" x14ac:dyDescent="0.3">
      <c r="A35" s="484" t="s">
        <v>190</v>
      </c>
      <c r="B35" s="485"/>
      <c r="C35" s="486"/>
    </row>
    <row r="36" spans="1:6" ht="14.1" customHeight="1" x14ac:dyDescent="0.25">
      <c r="A36" s="126" t="s">
        <v>60</v>
      </c>
      <c r="B36" s="127" t="s">
        <v>90</v>
      </c>
      <c r="C36" s="157">
        <f>Pool!AL33</f>
        <v>14636.259999999998</v>
      </c>
    </row>
    <row r="37" spans="1:6" ht="14.1" customHeight="1" x14ac:dyDescent="0.25">
      <c r="A37" s="129" t="s">
        <v>60</v>
      </c>
      <c r="B37" s="130" t="s">
        <v>92</v>
      </c>
      <c r="C37" s="158">
        <f>Pool!AM33</f>
        <v>275.8</v>
      </c>
    </row>
    <row r="38" spans="1:6" ht="14.1" customHeight="1" x14ac:dyDescent="0.25">
      <c r="A38" s="129" t="s">
        <v>60</v>
      </c>
      <c r="B38" s="130" t="s">
        <v>91</v>
      </c>
      <c r="C38" s="158">
        <f>Pool!AL34</f>
        <v>51143.959999999992</v>
      </c>
    </row>
    <row r="39" spans="1:6" ht="14.1" customHeight="1" x14ac:dyDescent="0.25">
      <c r="A39" s="129" t="s">
        <v>60</v>
      </c>
      <c r="B39" s="130" t="s">
        <v>93</v>
      </c>
      <c r="C39" s="158">
        <f>Pool!AM34</f>
        <v>17563.39</v>
      </c>
      <c r="D39" s="267"/>
      <c r="E39" s="211"/>
    </row>
    <row r="40" spans="1:6" ht="14.1" customHeight="1" x14ac:dyDescent="0.25">
      <c r="A40" s="129" t="s">
        <v>60</v>
      </c>
      <c r="B40" s="130" t="s">
        <v>117</v>
      </c>
      <c r="C40" s="158">
        <f>Pool!AL35</f>
        <v>0</v>
      </c>
      <c r="D40" s="268"/>
      <c r="E40" s="211"/>
    </row>
    <row r="41" spans="1:6" ht="14.1" customHeight="1" x14ac:dyDescent="0.25">
      <c r="A41" s="129" t="s">
        <v>60</v>
      </c>
      <c r="B41" s="130" t="s">
        <v>118</v>
      </c>
      <c r="C41" s="158">
        <f>Pool!AM35</f>
        <v>0</v>
      </c>
      <c r="E41" s="211"/>
    </row>
    <row r="42" spans="1:6" ht="14.1" customHeight="1" x14ac:dyDescent="0.25">
      <c r="A42" s="129" t="s">
        <v>210</v>
      </c>
      <c r="B42" s="130" t="s">
        <v>212</v>
      </c>
      <c r="C42" s="158">
        <f>Pool!AL45</f>
        <v>1587.65</v>
      </c>
      <c r="E42" s="211"/>
    </row>
    <row r="43" spans="1:6" ht="14.1" customHeight="1" x14ac:dyDescent="0.25">
      <c r="A43" s="129" t="s">
        <v>210</v>
      </c>
      <c r="B43" s="130" t="s">
        <v>213</v>
      </c>
      <c r="C43" s="158">
        <f>Pool!AM45</f>
        <v>548.14</v>
      </c>
      <c r="E43" s="211"/>
    </row>
    <row r="44" spans="1:6" ht="14.1" hidden="1" customHeight="1" x14ac:dyDescent="0.25">
      <c r="A44" s="129" t="s">
        <v>60</v>
      </c>
      <c r="B44" s="130" t="s">
        <v>119</v>
      </c>
      <c r="C44" s="158">
        <f>Pool!AL36</f>
        <v>0</v>
      </c>
      <c r="E44" s="211"/>
    </row>
    <row r="45" spans="1:6" ht="14.1" hidden="1" customHeight="1" x14ac:dyDescent="0.25">
      <c r="A45" s="129" t="s">
        <v>60</v>
      </c>
      <c r="B45" s="130" t="s">
        <v>120</v>
      </c>
      <c r="C45" s="158">
        <f>Pool!AM36</f>
        <v>0</v>
      </c>
      <c r="E45" s="211"/>
    </row>
    <row r="46" spans="1:6" ht="14.1" customHeight="1" x14ac:dyDescent="0.25">
      <c r="A46" s="129" t="s">
        <v>32</v>
      </c>
      <c r="B46" s="130" t="s">
        <v>94</v>
      </c>
      <c r="C46" s="158">
        <f>Pool!AL43</f>
        <v>26.460000000001173</v>
      </c>
      <c r="D46" s="487"/>
      <c r="E46" s="488"/>
      <c r="F46" s="488"/>
    </row>
    <row r="47" spans="1:6" ht="14.1" customHeight="1" x14ac:dyDescent="0.25">
      <c r="A47" s="364" t="s">
        <v>68</v>
      </c>
      <c r="B47" s="365" t="s">
        <v>95</v>
      </c>
      <c r="C47" s="386">
        <f>Pool!AL37</f>
        <v>72</v>
      </c>
    </row>
    <row r="48" spans="1:6" ht="14.1" customHeight="1" thickBot="1" x14ac:dyDescent="0.3">
      <c r="A48" s="135" t="s">
        <v>114</v>
      </c>
      <c r="B48" s="136" t="s">
        <v>181</v>
      </c>
      <c r="C48" s="159">
        <f>Pool!AL38</f>
        <v>171</v>
      </c>
    </row>
    <row r="49" spans="1:5" ht="12.75" customHeight="1" x14ac:dyDescent="0.25">
      <c r="A49" s="205"/>
      <c r="B49" s="209" t="s">
        <v>66</v>
      </c>
      <c r="C49" s="210">
        <f>SUM(C36:C48)</f>
        <v>86024.659999999989</v>
      </c>
    </row>
    <row r="50" spans="1:5" ht="5.0999999999999996" customHeight="1" thickBot="1" x14ac:dyDescent="0.3">
      <c r="D50" s="210"/>
      <c r="E50" s="211"/>
    </row>
    <row r="51" spans="1:5" ht="14.1" customHeight="1" x14ac:dyDescent="0.25">
      <c r="B51" s="126" t="s">
        <v>57</v>
      </c>
      <c r="C51" s="237">
        <f>Pool!AJ47</f>
        <v>5047</v>
      </c>
    </row>
    <row r="52" spans="1:5" ht="14.1" customHeight="1" x14ac:dyDescent="0.25">
      <c r="B52" s="129" t="s">
        <v>58</v>
      </c>
      <c r="C52" s="238">
        <f>Pool!AJ48</f>
        <v>1613</v>
      </c>
    </row>
    <row r="53" spans="1:5" ht="14.1" customHeight="1" thickBot="1" x14ac:dyDescent="0.3">
      <c r="B53" s="239" t="s">
        <v>111</v>
      </c>
      <c r="C53" s="240">
        <f>C51+C52</f>
        <v>6660</v>
      </c>
    </row>
    <row r="54" spans="1:5" ht="5.0999999999999996" customHeight="1" thickBot="1" x14ac:dyDescent="0.3"/>
    <row r="55" spans="1:5" ht="14.1" customHeight="1" thickBot="1" x14ac:dyDescent="0.3">
      <c r="B55" s="241" t="s">
        <v>123</v>
      </c>
      <c r="C55" s="242">
        <f>Pool!AJ54</f>
        <v>12.687807820746144</v>
      </c>
    </row>
    <row r="56" spans="1:5" ht="5.0999999999999996" customHeight="1" thickBot="1" x14ac:dyDescent="0.3"/>
    <row r="57" spans="1:5" ht="14.1" customHeight="1" thickBot="1" x14ac:dyDescent="0.3">
      <c r="A57" s="265"/>
      <c r="B57" s="302" t="s">
        <v>135</v>
      </c>
      <c r="C57" s="303" t="s">
        <v>146</v>
      </c>
    </row>
    <row r="58" spans="1:5" ht="14.1" customHeight="1" x14ac:dyDescent="0.25">
      <c r="B58" s="83" t="s">
        <v>140</v>
      </c>
      <c r="C58" s="314">
        <f>Pool!AJ57</f>
        <v>0</v>
      </c>
    </row>
    <row r="59" spans="1:5" ht="14.1" customHeight="1" x14ac:dyDescent="0.25">
      <c r="A59" s="265"/>
      <c r="B59" s="315" t="s">
        <v>141</v>
      </c>
      <c r="C59" s="316">
        <f>Pool!AJ58</f>
        <v>0</v>
      </c>
    </row>
    <row r="60" spans="1:5" ht="14.1" customHeight="1" x14ac:dyDescent="0.25">
      <c r="B60" s="315" t="s">
        <v>143</v>
      </c>
      <c r="C60" s="316">
        <f>Pool!AJ59</f>
        <v>0</v>
      </c>
    </row>
    <row r="61" spans="1:5" ht="14.1" customHeight="1" thickBot="1" x14ac:dyDescent="0.3">
      <c r="B61" s="317" t="s">
        <v>147</v>
      </c>
      <c r="C61" s="318">
        <f>Pool!AJ60</f>
        <v>0</v>
      </c>
    </row>
    <row r="62" spans="1:5" x14ac:dyDescent="0.25">
      <c r="A62" s="382"/>
      <c r="B62" s="382"/>
      <c r="C62" s="382"/>
      <c r="E62" s="382"/>
    </row>
    <row r="63" spans="1:5" x14ac:dyDescent="0.25">
      <c r="D63" s="382"/>
    </row>
  </sheetData>
  <sheetProtection formatCells="0" formatColumns="0" formatRows="0" insertColumns="0" insertRows="0" insertHyperlinks="0" deleteColumns="0" deleteRows="0" sort="0" autoFilter="0" pivotTables="0"/>
  <mergeCells count="30">
    <mergeCell ref="D4:F4"/>
    <mergeCell ref="D6:F6"/>
    <mergeCell ref="D13:F13"/>
    <mergeCell ref="D12:F12"/>
    <mergeCell ref="D8:F8"/>
    <mergeCell ref="D7:F7"/>
    <mergeCell ref="D5:F5"/>
    <mergeCell ref="D20:F20"/>
    <mergeCell ref="D21:F21"/>
    <mergeCell ref="D9:F9"/>
    <mergeCell ref="D10:F10"/>
    <mergeCell ref="D11:F11"/>
    <mergeCell ref="D14:F14"/>
    <mergeCell ref="D15:F15"/>
    <mergeCell ref="D33:F33"/>
    <mergeCell ref="A35:C35"/>
    <mergeCell ref="A3:C3"/>
    <mergeCell ref="D46:F46"/>
    <mergeCell ref="A25:C25"/>
    <mergeCell ref="D30:F30"/>
    <mergeCell ref="D26:F26"/>
    <mergeCell ref="D27:F27"/>
    <mergeCell ref="D28:F28"/>
    <mergeCell ref="D29:F29"/>
    <mergeCell ref="D22:F22"/>
    <mergeCell ref="D23:F23"/>
    <mergeCell ref="D16:F16"/>
    <mergeCell ref="D17:F17"/>
    <mergeCell ref="D18:F18"/>
    <mergeCell ref="D19:F19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Cash Flow</vt:lpstr>
      <vt:lpstr>Pool</vt:lpstr>
      <vt:lpstr>Pool Stats</vt:lpstr>
      <vt:lpstr>Box Canon</vt:lpstr>
      <vt:lpstr>Box Cañon JE</vt:lpstr>
      <vt:lpstr>POOL JE</vt:lpstr>
      <vt:lpstr>'Box Canon'!Print_Area</vt:lpstr>
      <vt:lpstr>'Box Cañon JE'!Print_Area</vt:lpstr>
      <vt:lpstr>Pool!Print_Area</vt:lpstr>
      <vt:lpstr>'POOL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2022-03-04T21:15:47Z</cp:lastPrinted>
  <dcterms:created xsi:type="dcterms:W3CDTF">2017-08-14T15:26:56Z</dcterms:created>
  <dcterms:modified xsi:type="dcterms:W3CDTF">2022-03-15T18:57:14Z</dcterms:modified>
</cp:coreProperties>
</file>