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ash Flow"/>
    <sheet r:id="rId2" sheetId="2" name="Pool"/>
    <sheet r:id="rId3" sheetId="3" name="Pool Stats"/>
    <sheet r:id="rId4" sheetId="4" name="Box Canon"/>
    <sheet r:id="rId5" sheetId="5" name="Box Cañon JE"/>
    <sheet r:id="rId6" sheetId="6" name="POOL JE"/>
  </sheets>
  <definedNames>
    <definedName name="_xlnm.Print_Area" localSheetId="3">'Box Canon'!$A$2:$AH$46</definedName>
    <definedName name="_xlnm.Print_Area" localSheetId="4">'Box Cañon JE'!$A$1:$D$33</definedName>
    <definedName name="_xlnm.Print_Area" localSheetId="1">Pool!$A$1:$AH$54</definedName>
    <definedName name="_xlnm.Print_Area" localSheetId="5">'POOL JE'!$A$1:$C$61</definedName>
  </definedNames>
  <calcPr fullCalcOnLoad="1"/>
</workbook>
</file>

<file path=xl/sharedStrings.xml><?xml version="1.0" encoding="utf-8"?>
<sst xmlns="http://schemas.openxmlformats.org/spreadsheetml/2006/main" count="543" uniqueCount="233">
  <si>
    <t xml:space="preserve">POOL </t>
  </si>
  <si>
    <t>Revenue Transactions</t>
  </si>
  <si>
    <t>50-40-4030</t>
  </si>
  <si>
    <t>Swim Pool Admissions</t>
  </si>
  <si>
    <t>Pool Admissions + Motel Bulk Admission +50% Pool/Gym Rev. - Admission Discounts</t>
  </si>
  <si>
    <t>50-40-4035</t>
  </si>
  <si>
    <t>Slide Admissions</t>
  </si>
  <si>
    <t>50-40-4033</t>
  </si>
  <si>
    <t>Pool Membership Pass Revenue</t>
  </si>
  <si>
    <t>All pool memberships + 50% pool/gym memberships</t>
  </si>
  <si>
    <t>50-40-4034</t>
  </si>
  <si>
    <t>Facility Rental</t>
  </si>
  <si>
    <t>50-40-4350</t>
  </si>
  <si>
    <t xml:space="preserve">Other Revenue - Misc. </t>
  </si>
  <si>
    <t>50-40-4040</t>
  </si>
  <si>
    <t>Locker &amp; Misc. Rental</t>
  </si>
  <si>
    <t>50-40-4045</t>
  </si>
  <si>
    <t>Sales - Pool Merchandise</t>
  </si>
  <si>
    <t>10-45-4205</t>
  </si>
  <si>
    <t>Skate Rentals</t>
  </si>
  <si>
    <t>50-43-4010</t>
  </si>
  <si>
    <t>Gym Admission/Memberships</t>
  </si>
  <si>
    <t>Gym only passes/memberships + 50% pool/gym rev.</t>
  </si>
  <si>
    <r>
      <t xml:space="preserve">Pool/Gym Revenue </t>
    </r>
    <r>
      <rPr>
        <i/>
        <sz val="8"/>
        <color rgb="FF000000"/>
        <rFont val="Calibri"/>
        <family val="2"/>
        <scheme val="minor"/>
      </rPr>
      <t>**50/50 **</t>
    </r>
  </si>
  <si>
    <t>Day use passes used at either gym or pool get split 50/50</t>
  </si>
  <si>
    <t>50-40-4047</t>
  </si>
  <si>
    <t>Swim Team</t>
  </si>
  <si>
    <t>50-40-4048</t>
  </si>
  <si>
    <t>Swim Lessons</t>
  </si>
  <si>
    <t>50-40-4049</t>
  </si>
  <si>
    <t>Aquatic Classes</t>
  </si>
  <si>
    <t>50-40-4050</t>
  </si>
  <si>
    <t>Grants / Donations</t>
  </si>
  <si>
    <t>50-40-4051</t>
  </si>
  <si>
    <t>ATM Rent</t>
  </si>
  <si>
    <t>50-40-4052</t>
  </si>
  <si>
    <t>Massage Rent</t>
  </si>
  <si>
    <t>50-40-4053</t>
  </si>
  <si>
    <t>Swim Shop Rent</t>
  </si>
  <si>
    <t>50-40-4300</t>
  </si>
  <si>
    <t>Lifeguard &amp; Other Class</t>
  </si>
  <si>
    <t>50-40-4320</t>
  </si>
  <si>
    <t>Vending Machine Revenue</t>
  </si>
  <si>
    <t>Total Revenue</t>
  </si>
  <si>
    <t xml:space="preserve">Sold GC - Payment GC = Net Liability </t>
  </si>
  <si>
    <t xml:space="preserve">Liability Accounts </t>
  </si>
  <si>
    <t>50-00-2020</t>
  </si>
  <si>
    <t>Sales Tax Payable</t>
  </si>
  <si>
    <t>50-00-1206</t>
  </si>
  <si>
    <t>Customer Balance A/R</t>
  </si>
  <si>
    <t>Use the DIJ to post these individually</t>
  </si>
  <si>
    <t>50-00-2060</t>
  </si>
  <si>
    <t>Deferred Activity Revenue</t>
  </si>
  <si>
    <t>Prepay activity - recognize rev. when happens</t>
  </si>
  <si>
    <t>50-00-2061</t>
  </si>
  <si>
    <t>Deferred Facility Revenue</t>
  </si>
  <si>
    <t>Prepay Facility  - recognize rev. when happens</t>
  </si>
  <si>
    <t>50-00-2007</t>
  </si>
  <si>
    <t>Unearned Payment Acct.  Gift Certificates</t>
  </si>
  <si>
    <t>Sold Gift Certificates</t>
  </si>
  <si>
    <t>Total Liability Transactions</t>
  </si>
  <si>
    <t>Total SOLD Transactions</t>
  </si>
  <si>
    <t>Total Revenue + Total Liability Transactions</t>
  </si>
  <si>
    <t>Payment Transactions</t>
  </si>
  <si>
    <t>01-00-1000</t>
  </si>
  <si>
    <t>Pool Cash/Check Cleared</t>
  </si>
  <si>
    <t>Pool Cash Outstanding</t>
  </si>
  <si>
    <t>Pool Credit Card Cleared</t>
  </si>
  <si>
    <t>Pool Credit Card Outstanding</t>
  </si>
  <si>
    <t>External CC Machine Cleared</t>
  </si>
  <si>
    <t>External CC Machine Outstanding</t>
  </si>
  <si>
    <t>50-50-6150</t>
  </si>
  <si>
    <t>CC Processing Fees Cleared</t>
  </si>
  <si>
    <t>CC Processing Fees Outstanding</t>
  </si>
  <si>
    <t>CC Processor Adjustments Cleared</t>
  </si>
  <si>
    <t>CC Processor Adjustments Outstanding</t>
  </si>
  <si>
    <t>50-40-4031</t>
  </si>
  <si>
    <t>Pool Over/Short</t>
  </si>
  <si>
    <t>50-50-6101</t>
  </si>
  <si>
    <t>Pool Promotions [Donations]</t>
  </si>
  <si>
    <t>Redeemed Gift Certificates</t>
  </si>
  <si>
    <t>Total Payments</t>
  </si>
  <si>
    <t>Admissions/Covers</t>
  </si>
  <si>
    <t>Members</t>
  </si>
  <si>
    <t>Total Admissions</t>
  </si>
  <si>
    <r>
      <t xml:space="preserve">ADR Admission       </t>
    </r>
    <r>
      <rPr>
        <i/>
        <sz val="8"/>
        <color rgb="FF000000"/>
        <rFont val="Calibri"/>
        <family val="2"/>
        <scheme val="minor"/>
      </rPr>
      <t>(W/O Memberships)</t>
    </r>
  </si>
  <si>
    <t>Description</t>
  </si>
  <si>
    <t>EOM AVG.</t>
  </si>
  <si>
    <t>Hot Pool - Avg. Temp.</t>
  </si>
  <si>
    <t>Shallow - Avg. Temp</t>
  </si>
  <si>
    <t xml:space="preserve">Lap Lanes - Avg. Temp. </t>
  </si>
  <si>
    <t>Discount (Published) - Average</t>
  </si>
  <si>
    <t>Box Cañon</t>
  </si>
  <si>
    <t>Box Cañon Sales Tax</t>
  </si>
  <si>
    <t>50-41-4010</t>
  </si>
  <si>
    <t>Box Cañon Admissions</t>
  </si>
  <si>
    <t>50-41-4015</t>
  </si>
  <si>
    <t>Box Cañon Donations</t>
  </si>
  <si>
    <t>50-41-4020</t>
  </si>
  <si>
    <t>Box Cañon Concessions</t>
  </si>
  <si>
    <t>Stamps</t>
  </si>
  <si>
    <t>50-41-4031</t>
  </si>
  <si>
    <t>Box Cañon Over/Short</t>
  </si>
  <si>
    <t>Box Cañon Cash/Check Cleared</t>
  </si>
  <si>
    <t>Box Cañon Cash Outstanding</t>
  </si>
  <si>
    <t>Box Cañon Credit Card Cleared</t>
  </si>
  <si>
    <t>Box Cañon Credit Card Outstanding</t>
  </si>
  <si>
    <t>Box Cañon External CC Cleared</t>
  </si>
  <si>
    <t>Box Cañon External CC Outstanding</t>
  </si>
  <si>
    <t>50-51-6150</t>
  </si>
  <si>
    <t>BC CC Processing Fees Cleared</t>
  </si>
  <si>
    <t>BC CC Processing Fees Outstanding</t>
  </si>
  <si>
    <t>Adult</t>
  </si>
  <si>
    <t>Child</t>
  </si>
  <si>
    <t>Child (3 and Under)</t>
  </si>
  <si>
    <t>Group</t>
  </si>
  <si>
    <t>Senior</t>
  </si>
  <si>
    <t>Military/Over 75</t>
  </si>
  <si>
    <t>TOTAL</t>
  </si>
  <si>
    <t>Mon</t>
  </si>
  <si>
    <t>Tue</t>
  </si>
  <si>
    <t>Wed</t>
  </si>
  <si>
    <t>Thu</t>
  </si>
  <si>
    <t>Fri</t>
  </si>
  <si>
    <t>Sat</t>
  </si>
  <si>
    <t>Sun</t>
  </si>
  <si>
    <t>GL</t>
  </si>
  <si>
    <t>EOM TOTAL</t>
  </si>
  <si>
    <t>Sales Tax</t>
  </si>
  <si>
    <t>Donations</t>
  </si>
  <si>
    <t>Concessions</t>
  </si>
  <si>
    <t>AM Revenue</t>
  </si>
  <si>
    <t>PM Revenue</t>
  </si>
  <si>
    <t>Payment Posting Calculations</t>
  </si>
  <si>
    <t>AM Cash/Check</t>
  </si>
  <si>
    <t>Cleared</t>
  </si>
  <si>
    <t>Outstanding</t>
  </si>
  <si>
    <t>PM Cash/Check</t>
  </si>
  <si>
    <t>AM Credit Card</t>
  </si>
  <si>
    <t>Cash/Check</t>
  </si>
  <si>
    <t>PM Credit Card</t>
  </si>
  <si>
    <t>Credit Card (less processing fees)</t>
  </si>
  <si>
    <t>AM External Credit Card</t>
  </si>
  <si>
    <t>External Credit Card</t>
  </si>
  <si>
    <t>PM External Credit Card</t>
  </si>
  <si>
    <t>Over/Short</t>
  </si>
  <si>
    <t>Variance?</t>
  </si>
  <si>
    <t>AM Variance</t>
  </si>
  <si>
    <t>PM Variance</t>
  </si>
  <si>
    <t>Processing Fees</t>
  </si>
  <si>
    <t>CC Processing Fees</t>
  </si>
  <si>
    <t>AM Total</t>
  </si>
  <si>
    <t>PM total</t>
  </si>
  <si>
    <t>Pool Admissions</t>
  </si>
  <si>
    <t>Sales - Merchandise</t>
  </si>
  <si>
    <t>Gym Admission</t>
  </si>
  <si>
    <t>Hot Pool</t>
  </si>
  <si>
    <t>Shallow Pool</t>
  </si>
  <si>
    <t>Lap Lanes</t>
  </si>
  <si>
    <t>Admissions</t>
  </si>
  <si>
    <t>closed</t>
  </si>
  <si>
    <t>*Admissions are calculated by</t>
  </si>
  <si>
    <t>Total Sales</t>
  </si>
  <si>
    <t>-</t>
  </si>
  <si>
    <t>Merchandise</t>
  </si>
  <si>
    <t>+</t>
  </si>
  <si>
    <t>POOL</t>
  </si>
  <si>
    <t>Admission - Motel Pass (Bulk)</t>
  </si>
  <si>
    <t>Slide Add-on</t>
  </si>
  <si>
    <t>50-40-4032</t>
  </si>
  <si>
    <t>Admissions Discounts</t>
  </si>
  <si>
    <t>Other Revenue - Misc.</t>
  </si>
  <si>
    <t>50-42-4005</t>
  </si>
  <si>
    <t>**50/50**</t>
  </si>
  <si>
    <t>Pool/Gym Revenue</t>
  </si>
  <si>
    <t xml:space="preserve">Aquatic Classes </t>
  </si>
  <si>
    <t>GL Report Total</t>
  </si>
  <si>
    <r>
      <t xml:space="preserve">Variance </t>
    </r>
    <r>
      <rPr>
        <i/>
        <sz val="8"/>
        <color rgb="FF000000"/>
        <rFont val="Calibri"/>
        <family val="2"/>
        <scheme val="minor"/>
      </rPr>
      <t>(checking for data entry error)</t>
    </r>
  </si>
  <si>
    <t>Pool Cash/Check</t>
  </si>
  <si>
    <t>Credit Card</t>
  </si>
  <si>
    <t>Pool Credit Card less processing fees</t>
  </si>
  <si>
    <t>External CC Machine</t>
  </si>
  <si>
    <t xml:space="preserve">External CC Machine </t>
  </si>
  <si>
    <t>CC Processor Adjustment (Server Errors)</t>
  </si>
  <si>
    <t xml:space="preserve">CC Processor Adjustments </t>
  </si>
  <si>
    <t>Promotions [Donations]</t>
  </si>
  <si>
    <t>Variance ?</t>
  </si>
  <si>
    <t>Unearned Payment Acct.</t>
  </si>
  <si>
    <t>Unearned Payment Acct. Gift Certificates</t>
  </si>
  <si>
    <t>Total</t>
  </si>
  <si>
    <t xml:space="preserve">Variance ? </t>
  </si>
  <si>
    <t>ADR</t>
  </si>
  <si>
    <t>Average Admission Rate</t>
  </si>
  <si>
    <t>ADR w/o Membership</t>
  </si>
  <si>
    <t>Average Admission Rate w/o members</t>
  </si>
  <si>
    <t>Pool Temps (Via Facebook)</t>
  </si>
  <si>
    <t>EOM AVG</t>
  </si>
  <si>
    <t>Shallow</t>
  </si>
  <si>
    <t>Published Discount</t>
  </si>
  <si>
    <t>Discount - Average</t>
  </si>
  <si>
    <t>CASH FLOW</t>
  </si>
  <si>
    <t>May</t>
  </si>
  <si>
    <t>DEPOSITS</t>
  </si>
  <si>
    <t>DISBURSEMENTS</t>
  </si>
  <si>
    <t>BALANCE</t>
  </si>
  <si>
    <t>Water</t>
  </si>
  <si>
    <t>LOT</t>
  </si>
  <si>
    <t>Pool</t>
  </si>
  <si>
    <t>BC</t>
  </si>
  <si>
    <t>Paymentech</t>
  </si>
  <si>
    <t>EFTs</t>
  </si>
  <si>
    <t>CR</t>
  </si>
  <si>
    <t>Memo Only</t>
  </si>
  <si>
    <t>Only</t>
  </si>
  <si>
    <t>CC Only</t>
  </si>
  <si>
    <t xml:space="preserve">EXT CC. </t>
  </si>
  <si>
    <t>Misc</t>
  </si>
  <si>
    <t>Other</t>
  </si>
  <si>
    <t>deposits only</t>
  </si>
  <si>
    <t>A/P</t>
  </si>
  <si>
    <t>P/R taxes</t>
  </si>
  <si>
    <t>P/R</t>
  </si>
  <si>
    <t>Bal.Fwd.</t>
  </si>
  <si>
    <t>EOM Adj</t>
  </si>
  <si>
    <t>A = Bank Fees</t>
  </si>
  <si>
    <t>Net AP</t>
  </si>
  <si>
    <t>Gross PR</t>
  </si>
  <si>
    <t>B = Cig Tax Distribution</t>
  </si>
  <si>
    <t>C = Sales Tax Distribution</t>
  </si>
  <si>
    <t>D = HUTF</t>
  </si>
  <si>
    <t>E = PaymentTech</t>
  </si>
  <si>
    <t>F = Express Billpay</t>
  </si>
  <si>
    <t>G = Police Vehicle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</si>
</sst>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%"/>
    <numFmt numFmtId="165" formatCode="mm/dd/yy"/>
    <numFmt numFmtId="166" formatCode="$#,##0.000_);($#,##0.000)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i/>
      <sz val="8"/>
      <color theme="1"/>
      <name val="Calibri"/>
      <family val="2"/>
    </font>
    <font>
      <sz val="11"/>
      <color rgb="FF000000"/>
      <name val="Calibri"/>
      <family val="2"/>
    </font>
    <font>
      <i/>
      <sz val="8"/>
      <color rgb="FF000000"/>
      <name val="Calibri"/>
      <family val="2"/>
    </font>
    <font>
      <i/>
      <sz val="9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i/>
      <sz val="10"/>
      <color rgb="FF000000"/>
      <name val="Calibri"/>
      <family val="2"/>
    </font>
    <font>
      <b/>
      <i/>
      <sz val="12"/>
      <color rgb="FF000000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i/>
      <sz val="7"/>
      <color theme="1"/>
      <name val="Calibri"/>
      <family val="2"/>
    </font>
    <font>
      <i/>
      <sz val="7"/>
      <color theme="1"/>
      <name val="Arial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i/>
      <sz val="10"/>
      <color theme="1"/>
      <name val="Calibri"/>
      <family val="2"/>
    </font>
    <font>
      <b/>
      <sz val="10"/>
      <color theme="1"/>
      <name val="Arial"/>
      <family val="2"/>
    </font>
    <font>
      <b/>
      <sz val="10"/>
      <color rgb="FF4472c4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sz val="10"/>
      <color rgb="FF4472c4"/>
      <name val="Arial"/>
      <family val="2"/>
    </font>
    <font>
      <b/>
      <i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993366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f2f2f2"/>
      </patternFill>
    </fill>
    <fill>
      <patternFill patternType="solid">
        <fgColor rgb="FFffff99"/>
      </patternFill>
    </fill>
    <fill>
      <patternFill patternType="solid">
        <fgColor rgb="FFffff00"/>
      </patternFill>
    </fill>
  </fills>
  <borders count="10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dotted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c6c6c6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85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0" borderId="2" applyBorder="1" fontId="3" applyFont="1" fillId="2" applyFill="1" applyAlignment="1">
      <alignment horizontal="center"/>
    </xf>
    <xf xfId="0" numFmtId="0" borderId="3" applyBorder="1" fontId="3" applyFont="1" fillId="2" applyFill="1" applyAlignment="1">
      <alignment horizontal="center"/>
    </xf>
    <xf xfId="0" numFmtId="164" applyNumberFormat="1" borderId="4" applyBorder="1" fontId="3" applyFont="1" fillId="2" applyFill="1" applyAlignment="1">
      <alignment horizontal="center"/>
    </xf>
    <xf xfId="0" numFmtId="0" borderId="5" applyBorder="1" fontId="4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4" applyNumberFormat="1" borderId="7" applyBorder="1" fontId="6" applyFont="1" fillId="0" applyAlignment="1">
      <alignment horizontal="right"/>
    </xf>
    <xf xfId="0" numFmtId="0" borderId="8" applyBorder="1" fontId="7" applyFont="1" fillId="0" applyAlignment="1">
      <alignment horizontal="center" wrapText="1"/>
    </xf>
    <xf xfId="0" numFmtId="0" borderId="1" applyBorder="1" fontId="7" applyFont="1" fillId="0" applyAlignment="1">
      <alignment horizontal="center" wrapText="1"/>
    </xf>
    <xf xfId="0" numFmtId="0" borderId="9" applyBorder="1" fontId="4" applyFont="1" fillId="0" applyAlignment="1">
      <alignment horizontal="left"/>
    </xf>
    <xf xfId="0" numFmtId="0" borderId="10" applyBorder="1" fontId="5" applyFont="1" fillId="0" applyAlignment="1">
      <alignment horizontal="left"/>
    </xf>
    <xf xfId="0" numFmtId="4" applyNumberFormat="1" borderId="11" applyBorder="1" fontId="8" applyFont="1" fillId="0" applyAlignment="1">
      <alignment horizontal="right"/>
    </xf>
    <xf xfId="0" numFmtId="0" borderId="8" applyBorder="1" fontId="9" applyFont="1" fillId="0" applyAlignment="1">
      <alignment horizontal="center" wrapText="1"/>
    </xf>
    <xf xfId="0" numFmtId="0" borderId="1" applyBorder="1" fontId="9" applyFont="1" fillId="0" applyAlignment="1">
      <alignment horizontal="center" wrapText="1"/>
    </xf>
    <xf xfId="0" numFmtId="0" borderId="8" applyBorder="1" fontId="9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4" applyNumberFormat="1" borderId="11" applyBorder="1" fontId="10" applyFont="1" fillId="0" applyAlignment="1">
      <alignment horizontal="right"/>
    </xf>
    <xf xfId="0" numFmtId="0" borderId="12" applyBorder="1" fontId="4" applyFont="1" fillId="0" applyAlignment="1">
      <alignment horizontal="left"/>
    </xf>
    <xf xfId="0" numFmtId="0" borderId="13" applyBorder="1" fontId="5" applyFont="1" fillId="0" applyAlignment="1">
      <alignment horizontal="left"/>
    </xf>
    <xf xfId="0" numFmtId="4" applyNumberFormat="1" borderId="14" applyBorder="1" fontId="8" applyFont="1" fillId="0" applyAlignment="1">
      <alignment horizontal="right"/>
    </xf>
    <xf xfId="0" numFmtId="0" borderId="8" applyBorder="1" fontId="5" applyFont="1" fillId="0" applyAlignment="1">
      <alignment horizontal="left"/>
    </xf>
    <xf xfId="0" numFmtId="0" borderId="1" applyBorder="1" fontId="10" applyFont="1" fillId="0" applyAlignment="1">
      <alignment horizontal="right"/>
    </xf>
    <xf xfId="0" numFmtId="4" applyNumberFormat="1" borderId="1" applyBorder="1" fontId="11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1" applyBorder="1" fontId="4" applyFont="1" fillId="0" applyAlignment="1">
      <alignment horizontal="right"/>
    </xf>
    <xf xfId="0" numFmtId="0" borderId="6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right"/>
    </xf>
    <xf xfId="0" numFmtId="0" borderId="10" applyBorder="1" fontId="4" applyFont="1" fillId="0" applyAlignment="1">
      <alignment horizontal="left"/>
    </xf>
    <xf xfId="0" numFmtId="4" applyNumberFormat="1" borderId="11" applyBorder="1" fontId="4" applyFont="1" fillId="0" applyAlignment="1">
      <alignment horizontal="right"/>
    </xf>
    <xf xfId="0" numFmtId="0" borderId="13" applyBorder="1" fontId="4" applyFont="1" fillId="0" applyAlignment="1">
      <alignment horizontal="left"/>
    </xf>
    <xf xfId="0" numFmtId="4" applyNumberFormat="1" borderId="14" applyBorder="1" fontId="4" applyFont="1" fillId="0" applyAlignment="1">
      <alignment horizontal="right"/>
    </xf>
    <xf xfId="0" numFmtId="0" borderId="15" applyBorder="1" fontId="10" applyFont="1" fillId="0" applyAlignment="1">
      <alignment horizontal="right"/>
    </xf>
    <xf xfId="0" numFmtId="0" borderId="1" applyBorder="1" fontId="12" applyFont="1" fillId="0" applyAlignment="1">
      <alignment horizontal="right"/>
    </xf>
    <xf xfId="0" numFmtId="4" applyNumberFormat="1" borderId="1" applyBorder="1" fontId="12" applyFont="1" fillId="0" applyAlignment="1">
      <alignment horizontal="right"/>
    </xf>
    <xf xfId="0" numFmtId="7" applyNumberFormat="1" borderId="7" applyBorder="1" fontId="4" applyFont="1" fillId="0" applyAlignment="1">
      <alignment horizontal="right"/>
    </xf>
    <xf xfId="0" numFmtId="7" applyNumberFormat="1" borderId="11" applyBorder="1" fontId="4" applyFont="1" fillId="0" applyAlignment="1">
      <alignment horizontal="right"/>
    </xf>
    <xf xfId="0" numFmtId="0" borderId="1" applyBorder="1" fontId="13" applyFont="1" fillId="0" applyAlignment="1">
      <alignment horizontal="left"/>
    </xf>
    <xf xfId="0" numFmtId="0" borderId="8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0" borderId="16" applyBorder="1" fontId="4" applyFont="1" fillId="0" applyAlignment="1">
      <alignment horizontal="left"/>
    </xf>
    <xf xfId="0" numFmtId="0" borderId="17" applyBorder="1" fontId="5" applyFont="1" fillId="0" applyAlignment="1">
      <alignment horizontal="left"/>
    </xf>
    <xf xfId="0" numFmtId="7" applyNumberFormat="1" borderId="18" applyBorder="1" fontId="4" applyFont="1" fillId="0" applyAlignment="1">
      <alignment horizontal="right"/>
    </xf>
    <xf xfId="0" numFmtId="7" applyNumberFormat="1" borderId="14" applyBorder="1" fontId="4" applyFont="1" fillId="0" applyAlignment="1">
      <alignment horizontal="right"/>
    </xf>
    <xf xfId="0" numFmtId="4" applyNumberFormat="1" borderId="1" applyBorder="1" fontId="10" applyFont="1" fillId="0" applyAlignment="1">
      <alignment horizontal="right"/>
    </xf>
    <xf xfId="0" numFmtId="1" applyNumberFormat="1" borderId="7" applyBorder="1" fontId="4" applyFont="1" fillId="0" applyAlignment="1">
      <alignment horizontal="right"/>
    </xf>
    <xf xfId="0" numFmtId="1" applyNumberFormat="1" borderId="11" applyBorder="1" fontId="4" applyFont="1" fillId="0" applyAlignment="1">
      <alignment horizontal="right"/>
    </xf>
    <xf xfId="0" numFmtId="0" borderId="12" applyBorder="1" fontId="3" applyFont="1" fillId="0" applyAlignment="1">
      <alignment horizontal="right"/>
    </xf>
    <xf xfId="0" numFmtId="1" applyNumberFormat="1" borderId="14" applyBorder="1" fontId="3" applyFont="1" fillId="0" applyAlignment="1">
      <alignment horizontal="right"/>
    </xf>
    <xf xfId="0" numFmtId="0" borderId="19" applyBorder="1" fontId="4" applyFont="1" fillId="0" applyAlignment="1">
      <alignment horizontal="left"/>
    </xf>
    <xf xfId="0" numFmtId="7" applyNumberFormat="1" borderId="20" applyBorder="1" fontId="8" applyFont="1" fillId="0" applyAlignment="1">
      <alignment horizontal="right"/>
    </xf>
    <xf xfId="0" numFmtId="0" borderId="1" applyBorder="1" fontId="11" applyFont="1" fillId="0" applyAlignment="1">
      <alignment horizontal="left"/>
    </xf>
    <xf xfId="0" numFmtId="0" borderId="19" applyBorder="1" fontId="3" applyFont="1" fillId="3" applyFill="1" applyAlignment="1">
      <alignment horizontal="left"/>
    </xf>
    <xf xfId="0" numFmtId="164" applyNumberFormat="1" borderId="20" applyBorder="1" fontId="3" applyFont="1" fillId="3" applyFill="1" applyAlignment="1">
      <alignment horizontal="center"/>
    </xf>
    <xf xfId="0" numFmtId="0" borderId="5" applyBorder="1" fontId="5" applyFont="1" fillId="0" applyAlignment="1">
      <alignment horizontal="left"/>
    </xf>
    <xf xfId="0" numFmtId="4" applyNumberFormat="1" borderId="7" applyBorder="1" fontId="5" applyFont="1" fillId="0" applyAlignment="1">
      <alignment horizontal="right"/>
    </xf>
    <xf xfId="0" numFmtId="0" borderId="9" applyBorder="1" fontId="5" applyFont="1" fillId="0" applyAlignment="1">
      <alignment horizontal="left"/>
    </xf>
    <xf xfId="0" numFmtId="4" applyNumberFormat="1" borderId="11" applyBorder="1" fontId="5" applyFont="1" fillId="0" applyAlignment="1">
      <alignment horizontal="right"/>
    </xf>
    <xf xfId="0" numFmtId="0" borderId="12" applyBorder="1" fontId="5" applyFont="1" fillId="0" applyAlignment="1">
      <alignment horizontal="left"/>
    </xf>
    <xf xfId="0" numFmtId="164" applyNumberFormat="1" borderId="14" applyBorder="1" fontId="5" applyFont="1" fillId="0" applyAlignment="1">
      <alignment horizontal="right"/>
    </xf>
    <xf xfId="0" numFmtId="0" borderId="1" applyBorder="1" fontId="11" applyFont="1" fillId="0" applyAlignment="1">
      <alignment horizontal="center"/>
    </xf>
    <xf xfId="0" numFmtId="164" applyNumberFormat="1" borderId="1" applyBorder="1" fontId="11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0" borderId="12" applyBorder="1" fontId="3" applyFont="1" fillId="0" applyAlignment="1">
      <alignment horizontal="left"/>
    </xf>
    <xf xfId="0" numFmtId="0" borderId="13" applyBorder="1" fontId="14" applyFont="1" fillId="0" applyAlignment="1">
      <alignment horizontal="left"/>
    </xf>
    <xf xfId="0" numFmtId="7" applyNumberFormat="1" borderId="14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7" applyNumberFormat="1" borderId="1" applyBorder="1" fontId="10" applyFont="1" fillId="0" applyAlignment="1">
      <alignment horizontal="right"/>
    </xf>
    <xf xfId="0" numFmtId="7" applyNumberFormat="1" borderId="1" applyBorder="1" fontId="4" applyFont="1" fillId="0" applyAlignment="1">
      <alignment horizontal="right"/>
    </xf>
    <xf xfId="0" numFmtId="0" borderId="21" applyBorder="1" fontId="14" applyFont="1" fillId="4" applyFill="1" applyAlignment="1">
      <alignment horizontal="left"/>
    </xf>
    <xf xfId="0" numFmtId="3" applyNumberFormat="1" borderId="22" applyBorder="1" fontId="14" applyFont="1" fillId="4" applyFill="1" applyAlignment="1">
      <alignment horizontal="left"/>
    </xf>
    <xf xfId="0" numFmtId="0" borderId="9" applyBorder="1" fontId="15" applyFont="1" fillId="0" applyAlignment="1">
      <alignment horizontal="right"/>
    </xf>
    <xf xfId="0" numFmtId="3" applyNumberFormat="1" borderId="11" applyBorder="1" fontId="4" applyFont="1" fillId="0" applyAlignment="1">
      <alignment horizontal="right"/>
    </xf>
    <xf xfId="0" numFmtId="3" applyNumberFormat="1" borderId="11" applyBorder="1" fontId="4" applyFont="1" fillId="0" applyAlignment="1">
      <alignment horizontal="left"/>
    </xf>
    <xf xfId="0" numFmtId="0" borderId="12" applyBorder="1" fontId="3" applyFont="1" fillId="4" applyFill="1" applyAlignment="1">
      <alignment horizontal="right"/>
    </xf>
    <xf xfId="0" numFmtId="3" applyNumberFormat="1" borderId="14" applyBorder="1" fontId="3" applyFont="1" fillId="4" applyFill="1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3" applyNumberFormat="1" borderId="1" applyBorder="1" fontId="9" applyFont="1" fillId="0" applyAlignment="1">
      <alignment horizontal="center"/>
    </xf>
    <xf xfId="0" numFmtId="7" applyNumberFormat="1" borderId="0" fontId="0" fillId="0" applyAlignment="1">
      <alignment horizontal="general"/>
    </xf>
    <xf xfId="0" numFmtId="0" borderId="23" applyBorder="1" fontId="3" applyFont="1" fillId="2" applyFill="1" applyAlignment="1">
      <alignment horizontal="center"/>
    </xf>
    <xf xfId="0" numFmtId="0" borderId="24" applyBorder="1" fontId="3" applyFont="1" fillId="2" applyFill="1" applyAlignment="1">
      <alignment horizontal="center"/>
    </xf>
    <xf xfId="0" numFmtId="14" applyNumberFormat="1" borderId="24" applyBorder="1" fontId="15" applyFont="1" fillId="2" applyFill="1" applyAlignment="1">
      <alignment horizontal="left"/>
    </xf>
    <xf xfId="0" numFmtId="3" applyNumberFormat="1" borderId="25" applyBorder="1" fontId="13" applyFont="1" fillId="2" applyFill="1" applyAlignment="1">
      <alignment horizontal="left"/>
    </xf>
    <xf xfId="0" numFmtId="3" applyNumberFormat="1" borderId="23" applyBorder="1" fontId="3" applyFont="1" fillId="2" applyFill="1" applyAlignment="1">
      <alignment horizontal="center"/>
    </xf>
    <xf xfId="0" numFmtId="0" borderId="26" applyBorder="1" fontId="4" applyFont="1" fillId="0" applyAlignment="1">
      <alignment horizontal="left"/>
    </xf>
    <xf xfId="0" numFmtId="0" borderId="27" applyBorder="1" fontId="5" applyFont="1" fillId="0" applyAlignment="1">
      <alignment horizontal="left"/>
    </xf>
    <xf xfId="0" numFmtId="4" applyNumberFormat="1" borderId="28" applyBorder="1" fontId="5" applyFont="1" fillId="0" applyAlignment="1">
      <alignment horizontal="right"/>
    </xf>
    <xf xfId="0" numFmtId="4" applyNumberFormat="1" borderId="29" applyBorder="1" fontId="13" applyFont="1" fillId="0" applyAlignment="1">
      <alignment horizontal="right"/>
    </xf>
    <xf xfId="0" numFmtId="3" applyNumberFormat="1" borderId="26" applyBorder="1" fontId="4" applyFont="1" fillId="0" applyAlignment="1">
      <alignment horizontal="left"/>
    </xf>
    <xf xfId="0" numFmtId="0" borderId="30" applyBorder="1" fontId="4" applyFont="1" fillId="0" applyAlignment="1">
      <alignment horizontal="left"/>
    </xf>
    <xf xfId="0" numFmtId="0" borderId="31" applyBorder="1" fontId="5" applyFont="1" fillId="0" applyAlignment="1">
      <alignment horizontal="left"/>
    </xf>
    <xf xfId="0" numFmtId="4" applyNumberFormat="1" borderId="32" applyBorder="1" fontId="5" applyFont="1" fillId="0" applyAlignment="1">
      <alignment horizontal="right"/>
    </xf>
    <xf xfId="0" numFmtId="3" applyNumberFormat="1" borderId="30" applyBorder="1" fontId="4" applyFont="1" fillId="0" applyAlignment="1">
      <alignment horizontal="left"/>
    </xf>
    <xf xfId="0" numFmtId="4" applyNumberFormat="1" borderId="10" applyBorder="1" fontId="5" applyFont="1" fillId="0" applyAlignment="1">
      <alignment horizontal="right"/>
    </xf>
    <xf xfId="0" numFmtId="0" borderId="33" applyBorder="1" fontId="4" applyFont="1" fillId="0" applyAlignment="1">
      <alignment horizontal="left"/>
    </xf>
    <xf xfId="0" numFmtId="0" borderId="34" applyBorder="1" fontId="16" applyFont="1" fillId="0" applyAlignment="1">
      <alignment horizontal="left"/>
    </xf>
    <xf xfId="0" numFmtId="4" applyNumberFormat="1" borderId="17" applyBorder="1" fontId="16" applyFont="1" fillId="0" applyAlignment="1">
      <alignment horizontal="right"/>
    </xf>
    <xf xfId="0" numFmtId="4" applyNumberFormat="1" borderId="35" applyBorder="1" fontId="17" applyFont="1" fillId="0" applyAlignment="1">
      <alignment horizontal="right"/>
    </xf>
    <xf xfId="0" numFmtId="0" borderId="36" applyBorder="1" fontId="4" applyFont="1" fillId="0" applyAlignment="1">
      <alignment horizontal="left"/>
    </xf>
    <xf xfId="0" numFmtId="0" borderId="37" applyBorder="1" fontId="5" applyFont="1" fillId="0" applyAlignment="1">
      <alignment horizontal="left"/>
    </xf>
    <xf xfId="0" numFmtId="4" applyNumberFormat="1" borderId="38" applyBorder="1" fontId="5" applyFont="1" fillId="0" applyAlignment="1">
      <alignment horizontal="right"/>
    </xf>
    <xf xfId="0" numFmtId="4" applyNumberFormat="1" borderId="6" applyBorder="1" fontId="5" applyFont="1" fillId="0" applyAlignment="1">
      <alignment horizontal="right"/>
    </xf>
    <xf xfId="0" numFmtId="4" applyNumberFormat="1" borderId="39" applyBorder="1" fontId="5" applyFont="1" fillId="0" applyAlignment="1">
      <alignment horizontal="right"/>
    </xf>
    <xf xfId="0" numFmtId="4" applyNumberFormat="1" borderId="7" applyBorder="1" fontId="17" applyFont="1" fillId="0" applyAlignment="1">
      <alignment horizontal="right"/>
    </xf>
    <xf xfId="0" numFmtId="3" applyNumberFormat="1" borderId="33" applyBorder="1" fontId="4" applyFont="1" fillId="0" applyAlignment="1">
      <alignment horizontal="left"/>
    </xf>
    <xf xfId="0" numFmtId="0" borderId="34" applyBorder="1" fontId="5" applyFont="1" fillId="0" applyAlignment="1">
      <alignment horizontal="left"/>
    </xf>
    <xf xfId="0" numFmtId="4" applyNumberFormat="1" borderId="40" applyBorder="1" fontId="5" applyFont="1" fillId="0" applyAlignment="1">
      <alignment horizontal="right"/>
    </xf>
    <xf xfId="0" numFmtId="4" applyNumberFormat="1" borderId="17" applyBorder="1" fontId="5" applyFont="1" fillId="0" applyAlignment="1">
      <alignment horizontal="right"/>
    </xf>
    <xf xfId="0" numFmtId="4" applyNumberFormat="1" borderId="29" applyBorder="1" fontId="17" applyFont="1" fillId="0" applyAlignment="1">
      <alignment horizontal="right"/>
    </xf>
    <xf xfId="0" numFmtId="0" borderId="41" applyBorder="1" fontId="4" applyFont="1" fillId="0" applyAlignment="1">
      <alignment horizontal="left"/>
    </xf>
    <xf xfId="0" numFmtId="0" borderId="42" applyBorder="1" fontId="16" applyFont="1" fillId="0" applyAlignment="1">
      <alignment horizontal="left"/>
    </xf>
    <xf xfId="0" numFmtId="4" applyNumberFormat="1" borderId="43" applyBorder="1" fontId="16" applyFont="1" fillId="0" applyAlignment="1">
      <alignment horizontal="right"/>
    </xf>
    <xf xfId="0" numFmtId="3" applyNumberFormat="1" borderId="41" applyBorder="1" fontId="4" applyFont="1" fillId="0" applyAlignment="1">
      <alignment horizontal="left"/>
    </xf>
    <xf xfId="0" numFmtId="0" borderId="42" applyBorder="1" fontId="5" applyFont="1" fillId="0" applyAlignment="1">
      <alignment horizontal="left"/>
    </xf>
    <xf xfId="0" numFmtId="0" borderId="6" applyBorder="1" fontId="14" applyFont="1" fillId="0" applyAlignment="1">
      <alignment horizontal="left"/>
    </xf>
    <xf xfId="0" numFmtId="4" applyNumberFormat="1" borderId="6" applyBorder="1" fontId="14" applyFont="1" fillId="0" applyAlignment="1">
      <alignment horizontal="right"/>
    </xf>
    <xf xfId="0" numFmtId="4" applyNumberFormat="1" borderId="7" applyBorder="1" fontId="14" applyFont="1" fillId="0" applyAlignment="1">
      <alignment horizontal="right"/>
    </xf>
    <xf xfId="0" numFmtId="3" applyNumberFormat="1" borderId="5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4" applyNumberFormat="1" borderId="1" applyBorder="1" fontId="5" applyFont="1" fillId="0" applyAlignment="1">
      <alignment horizontal="right"/>
    </xf>
    <xf xfId="0" numFmtId="4" applyNumberFormat="1" borderId="44" applyBorder="1" fontId="14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45" applyBorder="1" fontId="4" applyFont="1" fillId="4" applyFill="1" applyAlignment="1">
      <alignment horizontal="left"/>
    </xf>
    <xf xfId="0" numFmtId="0" borderId="46" applyBorder="1" fontId="5" applyFont="1" fillId="4" applyFill="1" applyAlignment="1">
      <alignment horizontal="left"/>
    </xf>
    <xf xfId="0" numFmtId="4" applyNumberFormat="1" borderId="46" applyBorder="1" fontId="5" applyFont="1" fillId="4" applyFill="1" applyAlignment="1">
      <alignment horizontal="right"/>
    </xf>
    <xf xfId="0" numFmtId="3" applyNumberFormat="1" borderId="46" applyBorder="1" fontId="5" applyFont="1" fillId="4" applyFill="1" applyAlignment="1">
      <alignment horizontal="left"/>
    </xf>
    <xf xfId="0" numFmtId="3" applyNumberFormat="1" borderId="47" applyBorder="1" fontId="13" applyFont="1" fillId="4" applyFill="1" applyAlignment="1">
      <alignment horizontal="left"/>
    </xf>
    <xf xfId="0" numFmtId="3" applyNumberFormat="1" borderId="21" applyBorder="1" fontId="3" applyFont="1" fillId="4" applyFill="1" applyAlignment="1">
      <alignment horizontal="center"/>
    </xf>
    <xf xfId="0" numFmtId="0" borderId="48" applyBorder="1" fontId="3" applyFont="1" fillId="4" applyFill="1" applyAlignment="1">
      <alignment horizontal="center"/>
    </xf>
    <xf xfId="0" numFmtId="7" applyNumberFormat="1" borderId="48" applyBorder="1" fontId="3" applyFont="1" fillId="4" applyFill="1" applyAlignment="1">
      <alignment horizontal="center"/>
    </xf>
    <xf xfId="0" numFmtId="4" applyNumberFormat="1" borderId="22" applyBorder="1" fontId="3" applyFont="1" fillId="4" applyFill="1" applyAlignment="1">
      <alignment horizontal="center"/>
    </xf>
    <xf xfId="0" numFmtId="0" borderId="5" applyBorder="1" fontId="4" applyFont="1" fillId="0" applyAlignment="1">
      <alignment horizontal="left"/>
    </xf>
    <xf xfId="0" numFmtId="0" borderId="7" applyBorder="1" fontId="5" applyFont="1" fillId="0" applyAlignment="1">
      <alignment horizontal="left"/>
    </xf>
    <xf xfId="0" numFmtId="4" applyNumberFormat="1" borderId="5" applyBorder="1" fontId="5" applyFont="1" fillId="0" applyAlignment="1">
      <alignment horizontal="right"/>
    </xf>
    <xf xfId="0" numFmtId="4" applyNumberFormat="1" borderId="7" applyBorder="1" fontId="18" applyFont="1" fillId="0" applyAlignment="1">
      <alignment horizontal="right"/>
    </xf>
    <xf xfId="0" numFmtId="4" applyNumberFormat="1" borderId="49" applyBorder="1" fontId="13" applyFont="1" fillId="0" applyAlignment="1">
      <alignment horizontal="right"/>
    </xf>
    <xf xfId="0" numFmtId="3" applyNumberFormat="1" borderId="12" applyBorder="1" fontId="5" applyFont="1" fillId="4" applyFill="1" applyAlignment="1">
      <alignment horizontal="center"/>
    </xf>
    <xf xfId="0" numFmtId="0" borderId="13" applyBorder="1" fontId="5" applyFont="1" fillId="4" applyFill="1" applyAlignment="1">
      <alignment horizontal="center"/>
    </xf>
    <xf xfId="0" numFmtId="7" applyNumberFormat="1" borderId="13" applyBorder="1" fontId="5" applyFont="1" fillId="4" applyFill="1" applyAlignment="1">
      <alignment horizontal="center"/>
    </xf>
    <xf xfId="0" numFmtId="4" applyNumberFormat="1" borderId="14" applyBorder="1" fontId="4" applyFont="1" fillId="4" applyFill="1" applyAlignment="1">
      <alignment horizontal="center"/>
    </xf>
    <xf xfId="0" numFmtId="0" borderId="9" applyBorder="1" fontId="4" applyFont="1" fillId="0" applyAlignment="1">
      <alignment horizontal="left"/>
    </xf>
    <xf xfId="0" numFmtId="0" borderId="11" applyBorder="1" fontId="5" applyFont="1" fillId="0" applyAlignment="1">
      <alignment horizontal="left"/>
    </xf>
    <xf xfId="0" numFmtId="4" applyNumberFormat="1" borderId="9" applyBorder="1" fontId="5" applyFont="1" fillId="0" applyAlignment="1">
      <alignment horizontal="right"/>
    </xf>
    <xf xfId="0" numFmtId="4" applyNumberFormat="1" borderId="11" applyBorder="1" fontId="18" applyFont="1" fillId="0" applyAlignment="1">
      <alignment horizontal="right"/>
    </xf>
    <xf xfId="0" numFmtId="4" applyNumberFormat="1" borderId="50" applyBorder="1" fontId="13" applyFont="1" fillId="0" applyAlignment="1">
      <alignment horizontal="right"/>
    </xf>
    <xf xfId="0" numFmtId="3" applyNumberFormat="1" borderId="51" applyBorder="1" fontId="5" applyFont="1" fillId="4" applyFill="1" applyAlignment="1">
      <alignment horizontal="center"/>
    </xf>
    <xf xfId="0" numFmtId="0" borderId="52" applyBorder="1" fontId="5" applyFont="1" fillId="4" applyFill="1" applyAlignment="1">
      <alignment horizontal="center"/>
    </xf>
    <xf xfId="0" numFmtId="7" applyNumberFormat="1" borderId="52" applyBorder="1" fontId="5" applyFont="1" fillId="4" applyFill="1" applyAlignment="1">
      <alignment horizontal="center"/>
    </xf>
    <xf xfId="0" numFmtId="4" applyNumberFormat="1" borderId="53" applyBorder="1" fontId="4" applyFont="1" fillId="4" applyFill="1" applyAlignment="1">
      <alignment horizontal="center"/>
    </xf>
    <xf xfId="0" numFmtId="4" applyNumberFormat="1" borderId="10" applyBorder="1" fontId="18" applyFont="1" fillId="0" applyAlignment="1">
      <alignment horizontal="right"/>
    </xf>
    <xf xfId="0" numFmtId="3" applyNumberFormat="1" borderId="5" applyBorder="1" fontId="4" applyFont="1" fillId="0" applyAlignment="1">
      <alignment horizontal="left"/>
    </xf>
    <xf xfId="0" numFmtId="4" applyNumberFormat="1" borderId="6" applyBorder="1" fontId="5" applyFont="1" fillId="0" applyAlignment="1">
      <alignment horizontal="center"/>
    </xf>
    <xf xfId="0" numFmtId="4" applyNumberFormat="1" borderId="7" applyBorder="1" fontId="4" applyFont="1" fillId="0" applyAlignment="1">
      <alignment horizontal="center"/>
    </xf>
    <xf xfId="0" numFmtId="3" applyNumberFormat="1" borderId="9" applyBorder="1" fontId="4" applyFont="1" fillId="0" applyAlignment="1">
      <alignment horizontal="left"/>
    </xf>
    <xf xfId="0" numFmtId="7" applyNumberFormat="1" borderId="10" applyBorder="1" fontId="4" applyFont="1" fillId="0" applyAlignment="1">
      <alignment horizontal="right"/>
    </xf>
    <xf xfId="0" numFmtId="3" applyNumberFormat="1" borderId="16" applyBorder="1" fontId="4" applyFont="1" fillId="0" applyAlignment="1">
      <alignment horizontal="left"/>
    </xf>
    <xf xfId="0" numFmtId="7" applyNumberFormat="1" borderId="17" applyBorder="1" fontId="4" applyFont="1" fillId="0" applyAlignment="1">
      <alignment horizontal="right"/>
    </xf>
    <xf xfId="0" numFmtId="4" applyNumberFormat="1" borderId="18" applyBorder="1" fontId="4" applyFont="1" fillId="0" applyAlignment="1">
      <alignment horizontal="right"/>
    </xf>
    <xf xfId="0" numFmtId="0" borderId="14" applyBorder="1" fontId="5" applyFont="1" fillId="0" applyAlignment="1">
      <alignment horizontal="left"/>
    </xf>
    <xf xfId="0" numFmtId="4" applyNumberFormat="1" borderId="12" applyBorder="1" fontId="5" applyFont="1" fillId="0" applyAlignment="1">
      <alignment horizontal="right"/>
    </xf>
    <xf xfId="0" numFmtId="4" applyNumberFormat="1" borderId="13" applyBorder="1" fontId="5" applyFont="1" fillId="0" applyAlignment="1">
      <alignment horizontal="right"/>
    </xf>
    <xf xfId="0" numFmtId="4" applyNumberFormat="1" borderId="14" applyBorder="1" fontId="5" applyFont="1" fillId="0" applyAlignment="1">
      <alignment horizontal="right"/>
    </xf>
    <xf xfId="0" numFmtId="4" applyNumberFormat="1" borderId="54" applyBorder="1" fontId="13" applyFont="1" fillId="0" applyAlignment="1">
      <alignment horizontal="right"/>
    </xf>
    <xf xfId="0" numFmtId="0" borderId="55" applyBorder="1" fontId="4" applyFont="1" fillId="0" applyAlignment="1">
      <alignment horizontal="left"/>
    </xf>
    <xf xfId="0" numFmtId="0" borderId="56" applyBorder="1" fontId="5" applyFont="1" fillId="0" applyAlignment="1">
      <alignment horizontal="left"/>
    </xf>
    <xf xfId="0" numFmtId="4" applyNumberFormat="1" borderId="57" applyBorder="1" fontId="5" applyFont="1" fillId="0" applyAlignment="1">
      <alignment horizontal="right"/>
    </xf>
    <xf xfId="0" numFmtId="4" applyNumberFormat="1" borderId="57" applyBorder="1" fontId="19" applyFont="1" fillId="0" applyAlignment="1">
      <alignment horizontal="right"/>
    </xf>
    <xf xfId="0" numFmtId="3" applyNumberFormat="1" borderId="12" applyBorder="1" fontId="4" applyFont="1" fillId="0" applyAlignment="1">
      <alignment horizontal="left"/>
    </xf>
    <xf xfId="0" numFmtId="0" borderId="58" applyBorder="1" fontId="4" applyFont="1" fillId="4" applyFill="1" applyAlignment="1">
      <alignment horizontal="left"/>
    </xf>
    <xf xfId="0" numFmtId="0" borderId="59" applyBorder="1" fontId="5" applyFont="1" fillId="4" applyFill="1" applyAlignment="1">
      <alignment horizontal="left"/>
    </xf>
    <xf xfId="0" numFmtId="4" applyNumberFormat="1" borderId="59" applyBorder="1" fontId="5" applyFont="1" fillId="4" applyFill="1" applyAlignment="1">
      <alignment horizontal="right"/>
    </xf>
    <xf xfId="0" numFmtId="3" applyNumberFormat="1" borderId="59" applyBorder="1" fontId="5" applyFont="1" fillId="4" applyFill="1" applyAlignment="1">
      <alignment horizontal="left"/>
    </xf>
    <xf xfId="0" numFmtId="3" applyNumberFormat="1" borderId="59" applyBorder="1" fontId="13" applyFont="1" fillId="4" applyFill="1" applyAlignment="1">
      <alignment horizontal="left"/>
    </xf>
    <xf xfId="0" numFmtId="3" applyNumberFormat="1" borderId="12" applyBorder="1" fontId="3" applyFont="1" fillId="4" applyFill="1" applyAlignment="1">
      <alignment horizontal="center"/>
    </xf>
    <xf xfId="0" numFmtId="0" borderId="60" applyBorder="1" fontId="3" applyFont="1" fillId="4" applyFill="1" applyAlignment="1">
      <alignment horizontal="center"/>
    </xf>
    <xf xfId="0" numFmtId="7" applyNumberFormat="1" borderId="19" applyBorder="1" fontId="3" applyFont="1" fillId="4" applyFill="1" applyAlignment="1">
      <alignment horizontal="center"/>
    </xf>
    <xf xfId="0" numFmtId="4" applyNumberFormat="1" borderId="20" applyBorder="1" fontId="3" applyFont="1" fillId="4" applyFill="1" applyAlignment="1">
      <alignment horizontal="center"/>
    </xf>
    <xf xfId="0" numFmtId="0" borderId="5" applyBorder="1" fontId="14" applyFont="1" fillId="0" applyAlignment="1">
      <alignment horizontal="left"/>
    </xf>
    <xf xfId="0" numFmtId="4" applyNumberFormat="1" borderId="7" applyBorder="1" fontId="13" applyFont="1" fillId="0" applyAlignment="1">
      <alignment horizontal="right"/>
    </xf>
    <xf xfId="0" numFmtId="0" borderId="12" applyBorder="1" fontId="14" applyFont="1" fillId="0" applyAlignment="1">
      <alignment horizontal="left"/>
    </xf>
    <xf xfId="0" numFmtId="4" applyNumberFormat="1" borderId="13" applyBorder="1" fontId="14" applyFont="1" fillId="0" applyAlignment="1">
      <alignment horizontal="right"/>
    </xf>
    <xf xfId="0" numFmtId="4" applyNumberFormat="1" borderId="14" applyBorder="1" fontId="13" applyFont="1" fillId="0" applyAlignment="1">
      <alignment horizontal="right"/>
    </xf>
    <xf xfId="0" numFmtId="0" borderId="1" applyBorder="1" fontId="14" applyFont="1" fillId="0" applyAlignment="1">
      <alignment horizontal="left"/>
    </xf>
    <xf xfId="0" numFmtId="4" applyNumberFormat="1" borderId="1" applyBorder="1" fontId="14" applyFont="1" fillId="0" applyAlignment="1">
      <alignment horizontal="right"/>
    </xf>
    <xf xfId="0" numFmtId="4" applyNumberFormat="1" borderId="1" applyBorder="1" fontId="13" applyFont="1" fillId="0" applyAlignment="1">
      <alignment horizontal="right"/>
    </xf>
    <xf xfId="0" numFmtId="0" borderId="61" applyBorder="1" fontId="4" applyFont="1" fillId="0" applyAlignment="1">
      <alignment horizontal="left"/>
    </xf>
    <xf xfId="0" numFmtId="0" borderId="57" applyBorder="1" fontId="5" applyFont="1" fillId="0" applyAlignment="1">
      <alignment horizontal="left"/>
    </xf>
    <xf xfId="0" numFmtId="4" applyNumberFormat="1" borderId="57" applyBorder="1" fontId="18" applyFont="1" fillId="0" applyAlignment="1">
      <alignment horizontal="right"/>
    </xf>
    <xf xfId="0" numFmtId="4" applyNumberFormat="1" borderId="62" applyBorder="1" fontId="13" applyFont="1" fillId="0" applyAlignment="1">
      <alignment horizontal="right"/>
    </xf>
    <xf xfId="0" numFmtId="3" applyNumberFormat="1" borderId="19" applyBorder="1" fontId="4" applyFont="1" fillId="0" applyAlignment="1">
      <alignment horizontal="left"/>
    </xf>
    <xf xfId="0" numFmtId="0" borderId="63" applyBorder="1" fontId="5" applyFont="1" fillId="0" applyAlignment="1">
      <alignment horizontal="left"/>
    </xf>
    <xf xfId="0" numFmtId="7" applyNumberFormat="1" borderId="63" applyBorder="1" fontId="4" applyFont="1" fillId="0" applyAlignment="1">
      <alignment horizontal="right"/>
    </xf>
    <xf xfId="0" numFmtId="4" applyNumberFormat="1" borderId="20" applyBorder="1" fontId="5" applyFont="1" fillId="0" applyAlignment="1">
      <alignment horizontal="right"/>
    </xf>
    <xf xfId="0" numFmtId="3" applyNumberFormat="1" borderId="1" applyBorder="1" fontId="13" applyFont="1" fillId="0" applyAlignment="1">
      <alignment horizontal="left"/>
    </xf>
    <xf xfId="0" numFmtId="0" borderId="19" applyBorder="1" fontId="4" applyFont="1" fillId="4" applyFill="1" applyAlignment="1">
      <alignment horizontal="left"/>
    </xf>
    <xf xfId="0" numFmtId="0" borderId="63" applyBorder="1" fontId="14" applyFont="1" fillId="4" applyFill="1" applyAlignment="1">
      <alignment horizontal="center"/>
    </xf>
    <xf xfId="0" numFmtId="3" applyNumberFormat="1" borderId="63" applyBorder="1" fontId="5" applyFont="1" fillId="4" applyFill="1" applyAlignment="1">
      <alignment horizontal="left"/>
    </xf>
    <xf xfId="0" numFmtId="3" applyNumberFormat="1" borderId="20" applyBorder="1" fontId="13" applyFont="1" fillId="4" applyFill="1" applyAlignment="1">
      <alignment horizontal="left"/>
    </xf>
    <xf xfId="0" numFmtId="3" applyNumberFormat="1" borderId="5" applyBorder="1" fontId="14" applyFont="1" fillId="4" applyFill="1" applyAlignment="1">
      <alignment horizontal="center"/>
    </xf>
    <xf xfId="0" numFmtId="0" borderId="7" applyBorder="1" fontId="14" applyFont="1" fillId="4" applyFill="1" applyAlignment="1">
      <alignment horizontal="center"/>
    </xf>
    <xf xfId="0" numFmtId="0" borderId="8" applyBorder="1" fontId="4" applyFont="1" fillId="0" applyAlignment="1">
      <alignment horizontal="left"/>
    </xf>
    <xf xfId="0" numFmtId="3" applyNumberFormat="1" borderId="10" applyBorder="1" fontId="4" applyFont="1" fillId="0" applyAlignment="1">
      <alignment horizontal="right"/>
    </xf>
    <xf xfId="0" numFmtId="3" applyNumberFormat="1" borderId="64" applyBorder="1" fontId="4" applyFont="1" fillId="0" applyAlignment="1">
      <alignment horizontal="right"/>
    </xf>
    <xf xfId="0" numFmtId="3" applyNumberFormat="1" borderId="9" applyBorder="1" fontId="4" applyFont="1" fillId="0" applyAlignment="1">
      <alignment horizontal="right"/>
    </xf>
    <xf xfId="0" numFmtId="0" borderId="11" applyBorder="1" fontId="15" applyFont="1" fillId="0" applyAlignment="1">
      <alignment horizontal="left"/>
    </xf>
    <xf xfId="0" numFmtId="0" borderId="9" applyBorder="1" fontId="10" applyFont="1" fillId="0" applyAlignment="1">
      <alignment horizontal="right"/>
    </xf>
    <xf xfId="0" numFmtId="3" applyNumberFormat="1" borderId="17" applyBorder="1" fontId="11" applyFont="1" fillId="0" applyAlignment="1">
      <alignment horizontal="right"/>
    </xf>
    <xf xfId="0" numFmtId="3" applyNumberFormat="1" borderId="54" applyBorder="1" fontId="11" applyFont="1" fillId="0" applyAlignment="1">
      <alignment horizontal="right"/>
    </xf>
    <xf xfId="0" numFmtId="3" applyNumberFormat="1" borderId="6" applyBorder="1" fontId="4" applyFont="1" fillId="0" applyAlignment="1">
      <alignment horizontal="right"/>
    </xf>
    <xf xfId="0" numFmtId="3" applyNumberFormat="1" borderId="7" applyBorder="1" fontId="4" applyFont="1" fillId="0" applyAlignment="1">
      <alignment horizontal="right"/>
    </xf>
    <xf xfId="0" numFmtId="3" applyNumberFormat="1" borderId="44" applyBorder="1" fontId="4" applyFont="1" fillId="0" applyAlignment="1">
      <alignment horizontal="right"/>
    </xf>
    <xf xfId="0" numFmtId="0" borderId="11" applyBorder="1" fontId="4" applyFont="1" fillId="0" applyAlignment="1">
      <alignment horizontal="left"/>
    </xf>
    <xf xfId="0" numFmtId="0" borderId="16" applyBorder="1" fontId="10" applyFont="1" fillId="0" applyAlignment="1">
      <alignment horizontal="right"/>
    </xf>
    <xf xfId="0" numFmtId="3" applyNumberFormat="1" borderId="11" applyBorder="1" fontId="11" applyFont="1" fillId="0" applyAlignment="1">
      <alignment horizontal="right"/>
    </xf>
    <xf xfId="0" numFmtId="3" applyNumberFormat="1" borderId="44" applyBorder="1" fontId="11" applyFont="1" fillId="0" applyAlignment="1">
      <alignment horizontal="right"/>
    </xf>
    <xf xfId="0" numFmtId="3" applyNumberFormat="1" borderId="16" applyBorder="1" fontId="4" applyFont="1" fillId="0" applyAlignment="1">
      <alignment horizontal="right"/>
    </xf>
    <xf xfId="0" numFmtId="0" borderId="18" applyBorder="1" fontId="4" applyFont="1" fillId="0" applyAlignment="1">
      <alignment horizontal="left"/>
    </xf>
    <xf xfId="0" numFmtId="0" borderId="65" applyBorder="1" fontId="3" applyFont="1" fillId="4" applyFill="1" applyAlignment="1">
      <alignment horizontal="left"/>
    </xf>
    <xf xfId="0" numFmtId="0" borderId="12" applyBorder="1" fontId="3" applyFont="1" fillId="4" applyFill="1" applyAlignment="1">
      <alignment horizontal="left"/>
    </xf>
    <xf xfId="0" numFmtId="3" applyNumberFormat="1" borderId="13" applyBorder="1" fontId="3" applyFont="1" fillId="4" applyFill="1" applyAlignment="1">
      <alignment horizontal="right"/>
    </xf>
    <xf xfId="0" numFmtId="3" applyNumberFormat="1" borderId="60" applyBorder="1" fontId="3" applyFont="1" fillId="4" applyFill="1" applyAlignment="1">
      <alignment horizontal="right"/>
    </xf>
    <xf xfId="0" numFmtId="3" applyNumberFormat="1" borderId="66" applyBorder="1" fontId="3" applyFont="1" fillId="4" applyFill="1" applyAlignment="1">
      <alignment horizontal="right"/>
    </xf>
    <xf xfId="0" numFmtId="3" applyNumberFormat="1" borderId="12" applyBorder="1" fontId="3" applyFont="1" fillId="0" applyAlignment="1">
      <alignment horizontal="right"/>
    </xf>
    <xf xfId="0" numFmtId="0" borderId="14" applyBorder="1" fontId="3" applyFont="1" fillId="4" applyFill="1" applyAlignment="1">
      <alignment horizontal="left"/>
    </xf>
    <xf xfId="0" numFmtId="7" applyNumberFormat="1" borderId="0" fontId="0" fillId="0" applyAlignment="1">
      <alignment horizontal="general"/>
    </xf>
    <xf xfId="0" numFmtId="165" applyNumberFormat="1" borderId="67" applyBorder="1" fontId="4" applyFont="1" fillId="0" applyAlignment="1">
      <alignment horizontal="center"/>
    </xf>
    <xf xfId="0" numFmtId="0" borderId="68" applyBorder="1" fontId="4" applyFont="1" fillId="0" applyAlignment="1">
      <alignment horizontal="center"/>
    </xf>
    <xf xfId="0" numFmtId="4" applyNumberFormat="1" borderId="62" applyBorder="1" fontId="14" applyFont="1" fillId="4" applyFill="1" applyAlignment="1">
      <alignment horizontal="center" wrapText="1"/>
    </xf>
    <xf xfId="0" numFmtId="3" applyNumberFormat="1" borderId="69" applyBorder="1" fontId="14" applyFont="1" fillId="4" applyFill="1" applyAlignment="1">
      <alignment horizontal="center" wrapText="1"/>
    </xf>
    <xf xfId="0" numFmtId="4" applyNumberFormat="1" borderId="69" applyBorder="1" fontId="14" applyFont="1" fillId="4" applyFill="1" applyAlignment="1">
      <alignment horizontal="center" wrapText="1"/>
    </xf>
    <xf xfId="0" numFmtId="0" borderId="1" applyBorder="1" fontId="4" applyFont="1" fillId="0" applyAlignment="1">
      <alignment horizontal="left" wrapText="1"/>
    </xf>
    <xf xfId="0" numFmtId="1" applyNumberFormat="1" borderId="62" applyBorder="1" fontId="3" applyFont="1" fillId="4" applyFill="1" applyAlignment="1">
      <alignment horizontal="center" wrapText="1"/>
    </xf>
    <xf xfId="0" numFmtId="3" applyNumberFormat="1" borderId="62" applyBorder="1" fontId="3" applyFont="1" fillId="4" applyFill="1" applyAlignment="1">
      <alignment horizontal="center" wrapText="1"/>
    </xf>
    <xf xfId="0" numFmtId="165" applyNumberFormat="1" borderId="5" applyBorder="1" fontId="20" applyFont="1" fillId="0" applyAlignment="1">
      <alignment horizontal="left"/>
    </xf>
    <xf xfId="0" numFmtId="0" borderId="6" applyBorder="1" fontId="21" applyFont="1" fillId="0" applyAlignment="1">
      <alignment horizontal="left"/>
    </xf>
    <xf xfId="0" numFmtId="4" applyNumberFormat="1" borderId="6" applyBorder="1" fontId="15" applyFont="1" fillId="0" applyAlignment="1">
      <alignment horizontal="right"/>
    </xf>
    <xf xfId="0" numFmtId="4" applyNumberFormat="1" borderId="7" applyBorder="1" fontId="15" applyFont="1" fillId="0" applyAlignment="1">
      <alignment horizontal="right"/>
    </xf>
    <xf xfId="0" numFmtId="0" borderId="1" applyBorder="1" fontId="15" applyFont="1" fillId="0" applyAlignment="1">
      <alignment horizontal="left"/>
    </xf>
    <xf xfId="0" numFmtId="3" applyNumberFormat="1" borderId="5" applyBorder="1" fontId="15" applyFont="1" fillId="0" applyAlignment="1">
      <alignment horizontal="right"/>
    </xf>
    <xf xfId="0" numFmtId="3" applyNumberFormat="1" borderId="6" applyBorder="1" fontId="15" applyFont="1" fillId="0" applyAlignment="1">
      <alignment horizontal="right"/>
    </xf>
    <xf xfId="0" numFmtId="3" applyNumberFormat="1" borderId="7" applyBorder="1" fontId="15" applyFont="1" fillId="0" applyAlignment="1">
      <alignment horizontal="right"/>
    </xf>
    <xf xfId="0" numFmtId="3" applyNumberFormat="1" borderId="70" applyBorder="1" fontId="15" applyFont="1" fillId="0" applyAlignment="1">
      <alignment horizontal="right"/>
    </xf>
    <xf xfId="0" numFmtId="165" applyNumberFormat="1" borderId="9" applyBorder="1" fontId="20" applyFont="1" fillId="0" applyAlignment="1">
      <alignment horizontal="left"/>
    </xf>
    <xf xfId="0" numFmtId="0" borderId="10" applyBorder="1" fontId="22" applyFont="1" fillId="0" applyAlignment="1">
      <alignment horizontal="left"/>
    </xf>
    <xf xfId="0" numFmtId="4" applyNumberFormat="1" borderId="10" applyBorder="1" fontId="15" applyFont="1" fillId="0" applyAlignment="1">
      <alignment horizontal="right"/>
    </xf>
    <xf xfId="0" numFmtId="4" applyNumberFormat="1" borderId="11" applyBorder="1" fontId="15" applyFont="1" fillId="0" applyAlignment="1">
      <alignment horizontal="right"/>
    </xf>
    <xf xfId="0" numFmtId="3" applyNumberFormat="1" borderId="9" applyBorder="1" fontId="15" applyFont="1" fillId="0" applyAlignment="1">
      <alignment horizontal="right"/>
    </xf>
    <xf xfId="0" numFmtId="1" applyNumberFormat="1" borderId="10" applyBorder="1" fontId="15" applyFont="1" fillId="0" applyAlignment="1">
      <alignment horizontal="left"/>
    </xf>
    <xf xfId="0" numFmtId="3" applyNumberFormat="1" borderId="11" applyBorder="1" fontId="15" applyFont="1" fillId="0" applyAlignment="1">
      <alignment horizontal="right"/>
    </xf>
    <xf xfId="0" numFmtId="3" applyNumberFormat="1" borderId="50" applyBorder="1" fontId="15" applyFont="1" fillId="0" applyAlignment="1">
      <alignment horizontal="right"/>
    </xf>
    <xf xfId="0" numFmtId="3" applyNumberFormat="1" borderId="10" applyBorder="1" fontId="15" applyFont="1" fillId="0" applyAlignment="1">
      <alignment horizontal="right"/>
    </xf>
    <xf xfId="0" numFmtId="1" applyNumberFormat="1" borderId="9" applyBorder="1" fontId="15" applyFont="1" fillId="0" applyAlignment="1">
      <alignment horizontal="left"/>
    </xf>
    <xf xfId="0" numFmtId="165" applyNumberFormat="1" borderId="12" applyBorder="1" fontId="20" applyFont="1" fillId="0" applyAlignment="1">
      <alignment horizontal="left"/>
    </xf>
    <xf xfId="0" numFmtId="0" borderId="13" applyBorder="1" fontId="22" applyFont="1" fillId="0" applyAlignment="1">
      <alignment horizontal="left"/>
    </xf>
    <xf xfId="0" numFmtId="4" applyNumberFormat="1" borderId="13" applyBorder="1" fontId="15" applyFont="1" fillId="0" applyAlignment="1">
      <alignment horizontal="right"/>
    </xf>
    <xf xfId="0" numFmtId="4" applyNumberFormat="1" borderId="14" applyBorder="1" fontId="15" applyFont="1" fillId="0" applyAlignment="1">
      <alignment horizontal="right"/>
    </xf>
    <xf xfId="0" numFmtId="3" applyNumberFormat="1" borderId="12" applyBorder="1" fontId="15" applyFont="1" fillId="0" applyAlignment="1">
      <alignment horizontal="right"/>
    </xf>
    <xf xfId="0" numFmtId="3" applyNumberFormat="1" borderId="13" applyBorder="1" fontId="15" applyFont="1" fillId="0" applyAlignment="1">
      <alignment horizontal="right"/>
    </xf>
    <xf xfId="0" numFmtId="3" applyNumberFormat="1" borderId="14" applyBorder="1" fontId="15" applyFont="1" fillId="0" applyAlignment="1">
      <alignment horizontal="right"/>
    </xf>
    <xf xfId="0" numFmtId="3" applyNumberFormat="1" borderId="71" applyBorder="1" fontId="15" applyFont="1" fillId="0" applyAlignment="1">
      <alignment horizontal="right"/>
    </xf>
    <xf xfId="0" numFmtId="165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19" applyBorder="1" fontId="3" applyFont="1" fillId="4" applyFill="1" applyAlignment="1">
      <alignment horizontal="left"/>
    </xf>
    <xf xfId="0" numFmtId="0" borderId="63" applyBorder="1" fontId="3" applyFont="1" fillId="4" applyFill="1" applyAlignment="1">
      <alignment horizontal="left"/>
    </xf>
    <xf xfId="0" numFmtId="4" applyNumberFormat="1" borderId="63" applyBorder="1" fontId="14" applyFont="1" fillId="4" applyFill="1" applyAlignment="1">
      <alignment horizontal="right"/>
    </xf>
    <xf xfId="0" numFmtId="4" applyNumberFormat="1" borderId="20" applyBorder="1" fontId="14" applyFont="1" fillId="4" applyFill="1" applyAlignment="1">
      <alignment horizontal="right"/>
    </xf>
    <xf xfId="0" numFmtId="1" applyNumberFormat="1" borderId="19" applyBorder="1" fontId="14" applyFont="1" fillId="4" applyFill="1" applyAlignment="1">
      <alignment horizontal="right"/>
    </xf>
    <xf xfId="0" numFmtId="1" applyNumberFormat="1" borderId="63" applyBorder="1" fontId="14" applyFont="1" fillId="4" applyFill="1" applyAlignment="1">
      <alignment horizontal="right"/>
    </xf>
    <xf xfId="0" numFmtId="1" applyNumberFormat="1" borderId="20" applyBorder="1" fontId="14" applyFont="1" fillId="4" applyFill="1" applyAlignment="1">
      <alignment horizontal="right"/>
    </xf>
    <xf xfId="0" numFmtId="3" applyNumberFormat="1" borderId="62" applyBorder="1" fontId="14" applyFont="1" fillId="4" applyFill="1" applyAlignment="1">
      <alignment horizontal="right"/>
    </xf>
    <xf xfId="0" numFmtId="165" applyNumberFormat="1" borderId="1" applyBorder="1" fontId="23" applyFont="1" fillId="0" applyAlignment="1">
      <alignment horizontal="left"/>
    </xf>
    <xf xfId="0" numFmtId="0" borderId="1" applyBorder="1" fontId="23" applyFont="1" fillId="0" applyAlignment="1">
      <alignment horizontal="left"/>
    </xf>
    <xf xfId="0" numFmtId="4" applyNumberFormat="1" borderId="1" applyBorder="1" fontId="23" applyFont="1" fillId="0" applyAlignment="1">
      <alignment horizontal="left"/>
    </xf>
    <xf xfId="0" numFmtId="3" applyNumberFormat="1" borderId="1" applyBorder="1" fontId="23" applyFont="1" fillId="0" applyAlignment="1">
      <alignment horizontal="left"/>
    </xf>
    <xf xfId="0" numFmtId="3" applyNumberFormat="1" borderId="1" applyBorder="1" fontId="23" applyFont="1" fillId="0" applyAlignment="1">
      <alignment horizontal="right"/>
    </xf>
    <xf xfId="0" numFmtId="0" borderId="72" applyBorder="1" fontId="23" applyFont="1" fillId="0" applyAlignment="1">
      <alignment horizontal="left"/>
    </xf>
    <xf xfId="0" numFmtId="4" applyNumberFormat="1" borderId="72" applyBorder="1" fontId="23" applyFont="1" fillId="0" applyAlignment="1">
      <alignment horizontal="left"/>
    </xf>
    <xf xfId="0" numFmtId="3" applyNumberFormat="1" borderId="72" applyBorder="1" fontId="23" applyFont="1" fillId="0" applyAlignment="1">
      <alignment horizontal="right"/>
    </xf>
    <xf xfId="0" numFmtId="0" borderId="1" applyBorder="1" fontId="24" applyFont="1" fillId="0" applyAlignment="1">
      <alignment horizontal="left"/>
    </xf>
    <xf xfId="0" numFmtId="4" applyNumberFormat="1" borderId="1" applyBorder="1" fontId="24" applyFont="1" fillId="0" applyAlignment="1">
      <alignment horizontal="left"/>
    </xf>
    <xf xfId="0" numFmtId="3" applyNumberFormat="1" borderId="1" applyBorder="1" fontId="24" applyFont="1" fillId="0" applyAlignment="1">
      <alignment horizontal="right"/>
    </xf>
    <xf xfId="0" numFmtId="3" applyNumberFormat="1" borderId="1" applyBorder="1" fontId="25" applyFont="1" fillId="0" applyAlignment="1">
      <alignment horizontal="right"/>
    </xf>
    <xf xfId="0" numFmtId="4" applyNumberFormat="1" borderId="1" applyBorder="1" fontId="25" applyFont="1" fillId="0" applyAlignment="1">
      <alignment horizontal="left"/>
    </xf>
    <xf xfId="0" numFmtId="165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right"/>
    </xf>
    <xf xfId="0" numFmtId="4" applyNumberFormat="1" borderId="1" applyBorder="1" fontId="9" applyFont="1" fillId="0" applyAlignment="1">
      <alignment horizontal="center"/>
    </xf>
    <xf xfId="0" numFmtId="164" applyNumberFormat="1" borderId="0" fontId="0" fillId="0" applyAlignment="1">
      <alignment horizontal="right"/>
    </xf>
    <xf xfId="0" numFmtId="164" applyNumberFormat="1" borderId="25" applyBorder="1" fontId="13" applyFont="1" fillId="2" applyFill="1" applyAlignment="1">
      <alignment horizontal="left"/>
    </xf>
    <xf xfId="0" numFmtId="164" applyNumberFormat="1" borderId="23" applyBorder="1" fontId="3" applyFont="1" fillId="2" applyFill="1" applyAlignment="1">
      <alignment horizontal="center"/>
    </xf>
    <xf xfId="0" numFmtId="4" applyNumberFormat="1" borderId="73" applyBorder="1" fontId="5" applyFont="1" fillId="0" applyAlignment="1">
      <alignment horizontal="right"/>
    </xf>
    <xf xfId="0" numFmtId="164" applyNumberFormat="1" borderId="26" applyBorder="1" fontId="4" applyFont="1" fillId="0" applyAlignment="1">
      <alignment horizontal="left"/>
    </xf>
    <xf xfId="0" numFmtId="164" applyNumberFormat="1" borderId="30" applyBorder="1" fontId="4" applyFont="1" fillId="0" applyAlignment="1">
      <alignment horizontal="left"/>
    </xf>
    <xf xfId="0" numFmtId="0" borderId="31" applyBorder="1" fontId="5" applyFont="1" fillId="0" applyAlignment="1">
      <alignment horizontal="right"/>
    </xf>
    <xf xfId="0" numFmtId="0" borderId="30" applyBorder="1" fontId="4" applyFont="1" fillId="5" applyFill="1" applyAlignment="1">
      <alignment horizontal="left"/>
    </xf>
    <xf xfId="0" numFmtId="0" borderId="31" applyBorder="1" fontId="5" applyFont="1" fillId="5" applyFill="1" applyAlignment="1">
      <alignment horizontal="left"/>
    </xf>
    <xf xfId="0" numFmtId="4" applyNumberFormat="1" borderId="74" applyBorder="1" fontId="5" applyFont="1" fillId="5" applyFill="1" applyAlignment="1">
      <alignment horizontal="right"/>
    </xf>
    <xf xfId="0" numFmtId="4" applyNumberFormat="1" borderId="10" applyBorder="1" fontId="5" applyFont="1" fillId="5" applyFill="1" applyAlignment="1">
      <alignment horizontal="right"/>
    </xf>
    <xf xfId="0" numFmtId="4" applyNumberFormat="1" borderId="75" applyBorder="1" fontId="13" applyFont="1" fillId="5" applyFill="1" applyAlignment="1">
      <alignment horizontal="right"/>
    </xf>
    <xf xfId="0" numFmtId="0" borderId="59" applyBorder="1" fontId="13" applyFont="1" fillId="5" applyFill="1" applyAlignment="1">
      <alignment horizontal="left"/>
    </xf>
    <xf xfId="0" numFmtId="164" applyNumberFormat="1" borderId="30" applyBorder="1" fontId="4" applyFont="1" fillId="5" applyFill="1" applyAlignment="1">
      <alignment horizontal="left"/>
    </xf>
    <xf xfId="0" numFmtId="0" borderId="30" applyBorder="1" fontId="4" applyFont="1" fillId="0" applyAlignment="1">
      <alignment horizontal="left" wrapText="1"/>
    </xf>
    <xf xfId="0" numFmtId="164" applyNumberFormat="1" borderId="30" applyBorder="1" fontId="4" applyFont="1" fillId="0" applyAlignment="1">
      <alignment horizontal="left" wrapText="1"/>
    </xf>
    <xf xfId="0" numFmtId="164" applyNumberFormat="1" borderId="76" applyBorder="1" fontId="4" applyFont="1" fillId="0" applyAlignment="1">
      <alignment horizontal="left"/>
    </xf>
    <xf xfId="0" numFmtId="0" borderId="77" applyBorder="1" fontId="5" applyFont="1" fillId="0" applyAlignment="1">
      <alignment horizontal="left"/>
    </xf>
    <xf xfId="0" numFmtId="4" applyNumberFormat="1" borderId="43" applyBorder="1" fontId="5" applyFont="1" fillId="0" applyAlignment="1">
      <alignment horizontal="right"/>
    </xf>
    <xf xfId="0" numFmtId="164" applyNumberFormat="1" borderId="12" applyBorder="1" fontId="4" applyFont="1" fillId="0" applyAlignment="1">
      <alignment horizontal="left"/>
    </xf>
    <xf xfId="0" numFmtId="0" borderId="78" applyBorder="1" fontId="5" applyFont="1" fillId="0" applyAlignment="1">
      <alignment horizontal="left"/>
    </xf>
    <xf xfId="0" numFmtId="164" applyNumberFormat="1" borderId="19" applyBorder="1" fontId="5" applyFont="1" fillId="0" applyAlignment="1">
      <alignment horizontal="left"/>
    </xf>
    <xf xfId="0" numFmtId="0" borderId="20" applyBorder="1" fontId="5" applyFont="1" fillId="0" applyAlignment="1">
      <alignment horizontal="left"/>
    </xf>
    <xf xfId="0" numFmtId="0" borderId="79" applyBorder="1" fontId="5" applyFont="1" fillId="0" applyAlignment="1">
      <alignment horizontal="left"/>
    </xf>
    <xf xfId="0" numFmtId="4" applyNumberFormat="1" borderId="11" applyBorder="1" fontId="14" applyFont="1" fillId="0" applyAlignment="1">
      <alignment horizontal="right"/>
    </xf>
    <xf xfId="0" numFmtId="164" applyNumberFormat="1" borderId="1" applyBorder="1" fontId="5" applyFont="1" fillId="0" applyAlignment="1">
      <alignment horizontal="left"/>
    </xf>
    <xf xfId="0" numFmtId="0" borderId="55" applyBorder="1" fontId="5" applyFont="1" fillId="0" applyAlignment="1">
      <alignment horizontal="left"/>
    </xf>
    <xf xfId="0" numFmtId="0" borderId="13" applyBorder="1" fontId="5" applyFont="1" fillId="0" applyAlignment="1">
      <alignment horizontal="right"/>
    </xf>
    <xf xfId="0" numFmtId="164" applyNumberFormat="1" borderId="5" applyBorder="1" fontId="3" applyFont="1" fillId="4" applyFill="1" applyAlignment="1">
      <alignment horizontal="center"/>
    </xf>
    <xf xfId="0" numFmtId="0" borderId="6" applyBorder="1" fontId="3" applyFont="1" fillId="4" applyFill="1" applyAlignment="1">
      <alignment horizontal="center"/>
    </xf>
    <xf xfId="0" numFmtId="7" applyNumberFormat="1" borderId="6" applyBorder="1" fontId="3" applyFont="1" fillId="4" applyFill="1" applyAlignment="1">
      <alignment horizontal="center"/>
    </xf>
    <xf xfId="0" numFmtId="7" applyNumberFormat="1" borderId="7" applyBorder="1" fontId="3" applyFont="1" fillId="4" applyFill="1" applyAlignment="1">
      <alignment horizontal="center"/>
    </xf>
    <xf xfId="0" numFmtId="0" borderId="65" applyBorder="1" fontId="4" applyFont="1" fillId="4" applyFill="1" applyAlignment="1">
      <alignment horizontal="left"/>
    </xf>
    <xf xfId="0" numFmtId="0" borderId="80" applyBorder="1" fontId="5" applyFont="1" fillId="4" applyFill="1" applyAlignment="1">
      <alignment horizontal="left"/>
    </xf>
    <xf xfId="0" numFmtId="4" applyNumberFormat="1" borderId="80" applyBorder="1" fontId="5" applyFont="1" fillId="4" applyFill="1" applyAlignment="1">
      <alignment horizontal="right"/>
    </xf>
    <xf xfId="0" numFmtId="3" applyNumberFormat="1" borderId="80" applyBorder="1" fontId="5" applyFont="1" fillId="4" applyFill="1" applyAlignment="1">
      <alignment horizontal="left"/>
    </xf>
    <xf xfId="0" numFmtId="4" applyNumberFormat="1" borderId="80" applyBorder="1" fontId="5" applyFont="1" fillId="4" applyFill="1" applyAlignment="1">
      <alignment horizontal="left"/>
    </xf>
    <xf xfId="0" numFmtId="3" applyNumberFormat="1" borderId="80" applyBorder="1" fontId="19" applyFont="1" fillId="4" applyFill="1" applyAlignment="1">
      <alignment horizontal="left"/>
    </xf>
    <xf xfId="0" numFmtId="164" applyNumberFormat="1" borderId="81" applyBorder="1" fontId="13" applyFont="1" fillId="4" applyFill="1" applyAlignment="1">
      <alignment horizontal="left"/>
    </xf>
    <xf xfId="0" numFmtId="164" applyNumberFormat="1" borderId="12" applyBorder="1" fontId="5" applyFont="1" fillId="4" applyFill="1" applyAlignment="1">
      <alignment horizontal="center"/>
    </xf>
    <xf xfId="0" numFmtId="7" applyNumberFormat="1" borderId="14" applyBorder="1" fontId="4" applyFont="1" fillId="4" applyFill="1" applyAlignment="1">
      <alignment horizontal="center"/>
    </xf>
    <xf xfId="0" numFmtId="4" applyNumberFormat="1" borderId="6" applyBorder="1" fontId="26" applyFont="1" fillId="0" applyAlignment="1">
      <alignment horizontal="right"/>
    </xf>
    <xf xfId="0" numFmtId="4" applyNumberFormat="1" borderId="6" applyBorder="1" fontId="27" applyFont="1" fillId="0" applyAlignment="1">
      <alignment horizontal="right"/>
    </xf>
    <xf xfId="0" numFmtId="164" applyNumberFormat="1" borderId="82" applyBorder="1" fontId="4" applyFont="1" fillId="0" applyAlignment="1">
      <alignment horizontal="left"/>
    </xf>
    <xf xfId="0" numFmtId="0" borderId="28" applyBorder="1" fontId="5" applyFont="1" fillId="0" applyAlignment="1">
      <alignment horizontal="left"/>
    </xf>
    <xf xfId="0" numFmtId="7" applyNumberFormat="1" borderId="28" applyBorder="1" fontId="4" applyFont="1" fillId="0" applyAlignment="1">
      <alignment horizontal="right"/>
    </xf>
    <xf xfId="0" numFmtId="4" applyNumberFormat="1" borderId="29" applyBorder="1" fontId="4" applyFont="1" fillId="0" applyAlignment="1">
      <alignment horizontal="right"/>
    </xf>
    <xf xfId="0" numFmtId="4" applyNumberFormat="1" borderId="10" applyBorder="1" fontId="26" applyFont="1" fillId="0" applyAlignment="1">
      <alignment horizontal="right"/>
    </xf>
    <xf xfId="0" numFmtId="4" applyNumberFormat="1" borderId="10" applyBorder="1" fontId="27" applyFont="1" fillId="0" applyAlignment="1">
      <alignment horizontal="right"/>
    </xf>
    <xf xfId="0" numFmtId="4" applyNumberFormat="1" borderId="11" applyBorder="1" fontId="13" applyFont="1" fillId="0" applyAlignment="1">
      <alignment horizontal="right"/>
    </xf>
    <xf xfId="0" numFmtId="164" applyNumberFormat="1" borderId="9" applyBorder="1" fontId="4" applyFont="1" fillId="0" applyAlignment="1">
      <alignment horizontal="left"/>
    </xf>
    <xf xfId="0" numFmtId="4" applyNumberFormat="1" borderId="17" applyBorder="1" fontId="19" applyFont="1" fillId="0" applyAlignment="1">
      <alignment horizontal="right"/>
    </xf>
    <xf xfId="0" numFmtId="4" applyNumberFormat="1" borderId="17" applyBorder="1" fontId="26" applyFont="1" fillId="0" applyAlignment="1">
      <alignment horizontal="right"/>
    </xf>
    <xf xfId="0" numFmtId="4" applyNumberFormat="1" borderId="17" applyBorder="1" fontId="28" applyFont="1" fillId="0" applyAlignment="1">
      <alignment horizontal="right"/>
    </xf>
    <xf xfId="0" numFmtId="7" applyNumberFormat="1" borderId="11" applyBorder="1" fontId="4" applyFont="1" fillId="0" applyAlignment="1">
      <alignment horizontal="left"/>
    </xf>
    <xf xfId="0" numFmtId="3" applyNumberFormat="1" borderId="1" applyBorder="1" fontId="11" applyFont="1" fillId="0" applyAlignment="1">
      <alignment horizontal="center"/>
    </xf>
    <xf xfId="0" numFmtId="4" applyNumberFormat="1" borderId="13" applyBorder="1" fontId="19" applyFont="1" fillId="0" applyAlignment="1">
      <alignment horizontal="right"/>
    </xf>
    <xf xfId="0" numFmtId="0" borderId="78" applyBorder="1" fontId="4" applyFont="1" fillId="0" applyAlignment="1">
      <alignment horizontal="left"/>
    </xf>
    <xf xfId="0" numFmtId="0" borderId="83" applyBorder="1" fontId="5" applyFont="1" fillId="0" applyAlignment="1">
      <alignment horizontal="left"/>
    </xf>
    <xf xfId="0" numFmtId="164" applyNumberFormat="1" borderId="12" applyBorder="1" fontId="3" applyFont="1" fillId="4" applyFill="1" applyAlignment="1">
      <alignment horizontal="center"/>
    </xf>
    <xf xfId="0" numFmtId="0" borderId="13" applyBorder="1" fontId="3" applyFont="1" fillId="4" applyFill="1" applyAlignment="1">
      <alignment horizontal="center"/>
    </xf>
    <xf xfId="0" numFmtId="7" applyNumberFormat="1" borderId="13" applyBorder="1" fontId="3" applyFont="1" fillId="4" applyFill="1" applyAlignment="1">
      <alignment horizontal="center"/>
    </xf>
    <xf xfId="0" numFmtId="7" applyNumberFormat="1" borderId="14" applyBorder="1" fontId="3" applyFont="1" fillId="4" applyFill="1" applyAlignment="1">
      <alignment horizontal="center"/>
    </xf>
    <xf xfId="0" numFmtId="7" applyNumberFormat="1" borderId="1" applyBorder="1" fontId="3" applyFont="1" fillId="0" applyAlignment="1">
      <alignment horizontal="right"/>
    </xf>
    <xf xfId="0" numFmtId="0" borderId="79" applyBorder="1" fontId="4" applyFont="1" fillId="0" applyAlignment="1">
      <alignment horizontal="left"/>
    </xf>
    <xf xfId="0" numFmtId="0" borderId="32" applyBorder="1" fontId="5" applyFont="1" fillId="0" applyAlignment="1">
      <alignment horizontal="left"/>
    </xf>
    <xf xfId="0" numFmtId="4" applyNumberFormat="1" borderId="59" applyBorder="1" fontId="5" applyFont="1" fillId="4" applyFill="1" applyAlignment="1">
      <alignment horizontal="left"/>
    </xf>
    <xf xfId="0" numFmtId="164" applyNumberFormat="1" borderId="59" applyBorder="1" fontId="13" applyFont="1" fillId="4" applyFill="1" applyAlignment="1">
      <alignment horizontal="left"/>
    </xf>
    <xf xfId="0" numFmtId="164" applyNumberFormat="1" borderId="1" applyBorder="1" fontId="14" applyFont="1" fillId="0" applyAlignment="1">
      <alignment horizontal="left"/>
    </xf>
    <xf xfId="0" numFmtId="7" applyNumberFormat="1" borderId="1" applyBorder="1" fontId="5" applyFont="1" fillId="0" applyAlignment="1">
      <alignment horizontal="left"/>
    </xf>
    <xf xfId="0" numFmtId="0" borderId="19" applyBorder="1" fontId="14" applyFont="1" fillId="0" applyAlignment="1">
      <alignment horizontal="left"/>
    </xf>
    <xf xfId="0" numFmtId="0" borderId="63" applyBorder="1" fontId="14" applyFont="1" fillId="0" applyAlignment="1">
      <alignment horizontal="left"/>
    </xf>
    <xf xfId="0" numFmtId="4" applyNumberFormat="1" borderId="63" applyBorder="1" fontId="14" applyFont="1" fillId="0" applyAlignment="1">
      <alignment horizontal="right"/>
    </xf>
    <xf xfId="0" numFmtId="4" applyNumberFormat="1" borderId="20" applyBorder="1" fontId="13" applyFont="1" fillId="0" applyAlignment="1">
      <alignment horizontal="right"/>
    </xf>
    <xf xfId="0" numFmtId="164" applyNumberFormat="1" borderId="19" applyBorder="1" fontId="4" applyFont="1" fillId="0" applyAlignment="1">
      <alignment horizontal="left"/>
    </xf>
    <xf xfId="0" numFmtId="0" borderId="59" applyBorder="1" fontId="4" applyFont="1" fillId="4" applyFill="1" applyAlignment="1">
      <alignment horizontal="left"/>
    </xf>
    <xf xfId="0" numFmtId="164" applyNumberFormat="1" borderId="59" applyBorder="1" fontId="4" applyFont="1" fillId="4" applyFill="1" applyAlignment="1">
      <alignment horizontal="left"/>
    </xf>
    <xf xfId="0" numFmtId="7" applyNumberFormat="1" borderId="1" applyBorder="1" fontId="14" applyFont="1" fillId="0" applyAlignment="1">
      <alignment horizontal="right"/>
    </xf>
    <xf xfId="0" numFmtId="3" applyNumberFormat="1" borderId="1" applyBorder="1" fontId="14" applyFont="1" fillId="0" applyAlignment="1">
      <alignment horizontal="right"/>
    </xf>
    <xf xfId="0" numFmtId="7" applyNumberFormat="1" borderId="63" applyBorder="1" fontId="5" applyFont="1" fillId="0" applyAlignment="1">
      <alignment horizontal="right"/>
    </xf>
    <xf xfId="0" numFmtId="7" applyNumberFormat="1" borderId="63" applyBorder="1" fontId="18" applyFont="1" fillId="0" applyAlignment="1">
      <alignment horizontal="right"/>
    </xf>
    <xf xfId="0" numFmtId="7" applyNumberFormat="1" borderId="84" applyBorder="1" fontId="18" applyFont="1" fillId="0" applyAlignment="1">
      <alignment horizontal="right"/>
    </xf>
    <xf xfId="0" numFmtId="7" applyNumberFormat="1" borderId="20" applyBorder="1" fontId="4" applyFont="1" fillId="0" applyAlignment="1">
      <alignment horizontal="right"/>
    </xf>
    <xf xfId="0" numFmtId="7" applyNumberFormat="1" borderId="1" applyBorder="1" fontId="11" applyFont="1" fillId="0" applyAlignment="1">
      <alignment horizontal="center"/>
    </xf>
    <xf xfId="0" numFmtId="0" borderId="6" applyBorder="1" fontId="5" applyFont="1" fillId="0" applyAlignment="1">
      <alignment horizontal="right"/>
    </xf>
    <xf xfId="0" numFmtId="3" applyNumberFormat="1" borderId="6" applyBorder="1" fontId="5" applyFont="1" fillId="0" applyAlignment="1">
      <alignment horizontal="right"/>
    </xf>
    <xf xfId="0" numFmtId="4" applyNumberFormat="1" borderId="6" applyBorder="1" fontId="5" applyFont="1" fillId="0" applyAlignment="1">
      <alignment horizontal="left"/>
    </xf>
    <xf xfId="0" numFmtId="3" applyNumberFormat="1" borderId="7" applyBorder="1" fontId="13" applyFont="1" fillId="0" applyAlignment="1">
      <alignment horizontal="right"/>
    </xf>
    <xf xfId="0" numFmtId="3" applyNumberFormat="1" borderId="5" applyBorder="1" fontId="4" applyFont="1" fillId="0" applyAlignment="1">
      <alignment horizontal="right"/>
    </xf>
    <xf xfId="0" numFmtId="7" applyNumberFormat="1" borderId="1" applyBorder="1" fontId="14" applyFont="1" fillId="0" applyAlignment="1">
      <alignment horizontal="left"/>
    </xf>
    <xf xfId="0" numFmtId="3" applyNumberFormat="1" borderId="1" applyBorder="1" fontId="14" applyFont="1" fillId="0" applyAlignment="1">
      <alignment horizontal="left"/>
    </xf>
    <xf xfId="0" numFmtId="3" applyNumberFormat="1" borderId="13" applyBorder="1" fontId="5" applyFont="1" fillId="0" applyAlignment="1">
      <alignment horizontal="right"/>
    </xf>
    <xf xfId="0" numFmtId="4" applyNumberFormat="1" borderId="13" applyBorder="1" fontId="5" applyFont="1" fillId="0" applyAlignment="1">
      <alignment horizontal="left"/>
    </xf>
    <xf xfId="0" numFmtId="3" applyNumberFormat="1" borderId="14" applyBorder="1" fontId="13" applyFont="1" fillId="0" applyAlignment="1">
      <alignment horizontal="right"/>
    </xf>
    <xf xfId="0" numFmtId="3" applyNumberFormat="1" borderId="12" applyBorder="1" fontId="4" applyFont="1" fillId="0" applyAlignment="1">
      <alignment horizontal="right"/>
    </xf>
    <xf xfId="0" numFmtId="0" borderId="59" applyBorder="1" fontId="5" applyFont="1" fillId="4" applyFill="1" applyAlignment="1">
      <alignment horizontal="right"/>
    </xf>
    <xf xfId="0" numFmtId="3" applyNumberFormat="1" borderId="63" applyBorder="1" fontId="5" applyFont="1" fillId="0" applyAlignment="1">
      <alignment horizontal="right"/>
    </xf>
    <xf xfId="0" numFmtId="3" applyNumberFormat="1" borderId="84" applyBorder="1" fontId="5" applyFont="1" fillId="0" applyAlignment="1">
      <alignment horizontal="right"/>
    </xf>
    <xf xfId="0" numFmtId="3" applyNumberFormat="1" borderId="20" applyBorder="1" fontId="13" applyFont="1" fillId="0" applyAlignment="1">
      <alignment horizontal="right"/>
    </xf>
    <xf xfId="0" numFmtId="3" applyNumberFormat="1" borderId="19" applyBorder="1" fontId="4" applyFont="1" fillId="0" applyAlignment="1">
      <alignment horizontal="right"/>
    </xf>
    <xf xfId="0" numFmtId="164" applyNumberFormat="1" borderId="59" applyBorder="1" fontId="5" applyFont="1" fillId="4" applyFill="1" applyAlignment="1">
      <alignment horizontal="left"/>
    </xf>
    <xf xfId="0" numFmtId="4" applyNumberFormat="1" borderId="63" applyBorder="1" fontId="5" applyFont="1" fillId="0" applyAlignment="1">
      <alignment horizontal="right"/>
    </xf>
    <xf xfId="0" numFmtId="4" applyNumberFormat="1" borderId="19" applyBorder="1" fontId="5" applyFont="1" fillId="0" applyAlignment="1">
      <alignment horizontal="right"/>
    </xf>
    <xf xfId="0" numFmtId="4" applyNumberFormat="1" borderId="63" applyBorder="1" fontId="4" applyFont="1" fillId="0" applyAlignment="1">
      <alignment horizontal="right"/>
    </xf>
    <xf xfId="0" numFmtId="4" applyNumberFormat="1" borderId="20" applyBorder="1" fontId="3" applyFont="1" fillId="0" applyAlignment="1">
      <alignment horizontal="right"/>
    </xf>
    <xf xfId="0" numFmtId="0" borderId="5" applyBorder="1" fontId="3" applyFont="1" fillId="3" applyFill="1" applyAlignment="1">
      <alignment horizontal="left"/>
    </xf>
    <xf xfId="0" numFmtId="0" borderId="6" applyBorder="1" fontId="14" applyFont="1" fillId="3" applyFill="1" applyAlignment="1">
      <alignment horizontal="left"/>
    </xf>
    <xf xfId="0" numFmtId="4" applyNumberFormat="1" borderId="6" applyBorder="1" fontId="5" applyFont="1" fillId="3" applyFill="1" applyAlignment="1">
      <alignment horizontal="left"/>
    </xf>
    <xf xfId="0" numFmtId="3" applyNumberFormat="1" borderId="6" applyBorder="1" fontId="5" applyFont="1" fillId="3" applyFill="1" applyAlignment="1">
      <alignment horizontal="left"/>
    </xf>
    <xf xfId="0" numFmtId="164" applyNumberFormat="1" borderId="7" applyBorder="1" fontId="13" applyFont="1" fillId="3" applyFill="1" applyAlignment="1">
      <alignment horizontal="left"/>
    </xf>
    <xf xfId="0" numFmtId="164" applyNumberFormat="1" borderId="19" applyBorder="1" fontId="3" applyFont="1" fillId="3" applyFill="1" applyAlignment="1">
      <alignment horizontal="left"/>
    </xf>
    <xf xfId="0" numFmtId="0" borderId="20" applyBorder="1" fontId="3" applyFont="1" fillId="3" applyFill="1" applyAlignment="1">
      <alignment horizontal="center"/>
    </xf>
    <xf xfId="0" numFmtId="0" borderId="10" applyBorder="1" fontId="5" applyFont="1" fillId="0" applyAlignment="1">
      <alignment horizontal="right"/>
    </xf>
    <xf xfId="0" numFmtId="4" applyNumberFormat="1" borderId="10" applyBorder="1" fontId="5" applyFont="1" fillId="0" applyAlignment="1">
      <alignment horizontal="left"/>
    </xf>
    <xf xfId="0" numFmtId="3" applyNumberFormat="1" borderId="10" applyBorder="1" fontId="5" applyFont="1" fillId="0" applyAlignment="1">
      <alignment horizontal="right"/>
    </xf>
    <xf xfId="0" numFmtId="3" applyNumberFormat="1" borderId="10" applyBorder="1" fontId="5" applyFont="1" fillId="0" applyAlignment="1">
      <alignment horizontal="left"/>
    </xf>
    <xf xfId="0" numFmtId="4" applyNumberFormat="1" borderId="82" applyBorder="1" fontId="5" applyFont="1" fillId="0" applyAlignment="1">
      <alignment horizontal="right"/>
    </xf>
    <xf xfId="0" numFmtId="0" borderId="29" applyBorder="1" fontId="5" applyFont="1" fillId="0" applyAlignment="1">
      <alignment horizontal="left"/>
    </xf>
    <xf xfId="0" numFmtId="0" borderId="13" applyBorder="1" fontId="16" applyFont="1" fillId="0" applyAlignment="1">
      <alignment horizontal="right"/>
    </xf>
    <xf xfId="0" numFmtId="164" applyNumberFormat="1" borderId="13" applyBorder="1" fontId="5" applyFont="1" fillId="0" applyAlignment="1">
      <alignment horizontal="right"/>
    </xf>
    <xf xfId="0" numFmtId="164" applyNumberFormat="1" borderId="14" applyBorder="1" fontId="13" applyFont="1" fillId="0" applyAlignment="1">
      <alignment horizontal="right"/>
    </xf>
    <xf xfId="0" numFmtId="164" applyNumberFormat="1" borderId="12" applyBorder="1" fontId="5" applyFont="1" fillId="0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1" applyBorder="1" fontId="29" applyFont="1" fillId="0" applyAlignment="1">
      <alignment horizontal="left"/>
    </xf>
    <xf xfId="0" numFmtId="4" applyNumberFormat="1" borderId="59" applyBorder="1" fontId="30" applyFont="1" fillId="6" applyFill="1" applyAlignment="1">
      <alignment horizontal="left"/>
    </xf>
    <xf xfId="0" numFmtId="3" applyNumberFormat="1" borderId="59" applyBorder="1" fontId="30" applyFont="1" fillId="6" applyFill="1" applyAlignment="1">
      <alignment horizontal="right"/>
    </xf>
    <xf xfId="0" numFmtId="4" applyNumberFormat="1" borderId="1" applyBorder="1" fontId="20" applyFont="1" fillId="0" applyAlignment="1">
      <alignment horizontal="right"/>
    </xf>
    <xf xfId="0" numFmtId="17" applyNumberFormat="1" borderId="1" applyBorder="1" fontId="20" applyFont="1" fillId="0" applyAlignment="1">
      <alignment horizontal="left"/>
    </xf>
    <xf xfId="0" numFmtId="0" borderId="1" applyBorder="1" fontId="31" applyFont="1" fillId="0" applyAlignment="1">
      <alignment horizontal="left"/>
    </xf>
    <xf xfId="0" numFmtId="4" applyNumberFormat="1" borderId="85" applyBorder="1" fontId="29" applyFont="1" fillId="0" applyAlignment="1">
      <alignment horizontal="center"/>
    </xf>
    <xf xfId="0" numFmtId="4" applyNumberFormat="1" borderId="86" applyBorder="1" fontId="29" applyFont="1" fillId="0" applyAlignment="1">
      <alignment horizontal="center"/>
    </xf>
    <xf xfId="0" numFmtId="4" applyNumberFormat="1" borderId="87" applyBorder="1" fontId="29" applyFont="1" fillId="0" applyAlignment="1">
      <alignment horizontal="center"/>
    </xf>
    <xf xfId="0" numFmtId="0" borderId="1" applyBorder="1" fontId="29" applyFont="1" fillId="0" applyAlignment="1">
      <alignment horizontal="center"/>
    </xf>
    <xf xfId="0" numFmtId="4" applyNumberFormat="1" borderId="88" applyBorder="1" fontId="29" applyFont="1" fillId="0" applyAlignment="1">
      <alignment horizontal="center"/>
    </xf>
    <xf xfId="0" numFmtId="0" borderId="1" applyBorder="1" fontId="32" applyFont="1" fillId="0" applyAlignment="1">
      <alignment horizontal="left"/>
    </xf>
    <xf xfId="0" numFmtId="4" applyNumberFormat="1" borderId="1" applyBorder="1" fontId="20" applyFont="1" fillId="0" applyAlignment="1">
      <alignment horizontal="center"/>
    </xf>
    <xf xfId="0" numFmtId="4" applyNumberFormat="1" borderId="1" applyBorder="1" fontId="33" applyFont="1" fillId="0" applyAlignment="1">
      <alignment horizontal="center"/>
    </xf>
    <xf xfId="0" numFmtId="4" applyNumberFormat="1" borderId="1" applyBorder="1" fontId="34" applyFont="1" fillId="0" applyAlignment="1">
      <alignment horizontal="center"/>
    </xf>
    <xf xfId="0" numFmtId="4" applyNumberFormat="1" borderId="89" applyBorder="1" fontId="29" applyFont="1" fillId="0" applyAlignment="1">
      <alignment horizontal="center"/>
    </xf>
    <xf xfId="0" numFmtId="4" applyNumberFormat="1" borderId="90" applyBorder="1" fontId="29" applyFont="1" fillId="0" applyAlignment="1">
      <alignment horizontal="center"/>
    </xf>
    <xf xfId="0" numFmtId="4" applyNumberFormat="1" borderId="90" applyBorder="1" fontId="29" applyFont="1" fillId="2" applyFill="1" applyAlignment="1">
      <alignment horizontal="center"/>
    </xf>
    <xf xfId="0" numFmtId="4" applyNumberFormat="1" borderId="90" applyBorder="1" fontId="30" applyFont="1" fillId="0" applyAlignment="1">
      <alignment horizontal="center"/>
    </xf>
    <xf xfId="0" numFmtId="4" applyNumberFormat="1" borderId="91" applyBorder="1" fontId="34" applyFont="1" fillId="2" applyFill="1" applyAlignment="1">
      <alignment horizontal="center"/>
    </xf>
    <xf xfId="0" numFmtId="4" applyNumberFormat="1" borderId="1" applyBorder="1" fontId="29" applyFont="1" fillId="0" applyAlignment="1">
      <alignment horizontal="center"/>
    </xf>
    <xf xfId="0" numFmtId="165" applyNumberFormat="1" borderId="1" applyBorder="1" fontId="20" applyFont="1" fillId="0" applyAlignment="1">
      <alignment horizontal="right"/>
    </xf>
    <xf xfId="0" numFmtId="4" applyNumberFormat="1" borderId="1" applyBorder="1" fontId="32" applyFont="1" fillId="0" applyAlignment="1">
      <alignment horizontal="right"/>
    </xf>
    <xf xfId="0" numFmtId="7" applyNumberFormat="1" borderId="92" applyBorder="1" fontId="20" applyFont="1" fillId="0" applyAlignment="1">
      <alignment horizontal="right"/>
    </xf>
    <xf xfId="0" numFmtId="4" applyNumberFormat="1" borderId="10" applyBorder="1" fontId="20" applyFont="1" fillId="0" applyAlignment="1">
      <alignment horizontal="right"/>
    </xf>
    <xf xfId="0" numFmtId="4" applyNumberFormat="1" borderId="10" applyBorder="1" fontId="20" applyFont="1" fillId="2" applyFill="1" applyAlignment="1">
      <alignment horizontal="right"/>
    </xf>
    <xf xfId="0" numFmtId="4" applyNumberFormat="1" borderId="93" applyBorder="1" fontId="20" applyFont="1" fillId="2" applyFill="1" applyAlignment="1">
      <alignment horizontal="right"/>
    </xf>
    <xf xfId="0" numFmtId="4" applyNumberFormat="1" borderId="89" applyBorder="1" fontId="20" applyFont="1" fillId="0" applyAlignment="1">
      <alignment horizontal="right"/>
    </xf>
    <xf xfId="0" numFmtId="4" applyNumberFormat="1" borderId="90" applyBorder="1" fontId="20" applyFont="1" fillId="0" applyAlignment="1">
      <alignment horizontal="right"/>
    </xf>
    <xf xfId="0" numFmtId="4" applyNumberFormat="1" borderId="91" applyBorder="1" fontId="35" applyFont="1" fillId="0" applyAlignment="1">
      <alignment horizontal="right"/>
    </xf>
    <xf xfId="0" numFmtId="165" applyNumberFormat="1" borderId="59" applyBorder="1" fontId="30" applyFont="1" fillId="6" applyFill="1" applyAlignment="1">
      <alignment horizontal="left"/>
    </xf>
    <xf xfId="0" numFmtId="0" borderId="1" applyBorder="1" fontId="32" applyFont="1" fillId="0" applyAlignment="1">
      <alignment horizontal="left"/>
    </xf>
    <xf xfId="0" numFmtId="4" applyNumberFormat="1" borderId="92" applyBorder="1" fontId="20" applyFont="1" fillId="0" applyAlignment="1">
      <alignment horizontal="right"/>
    </xf>
    <xf xfId="0" numFmtId="7" applyNumberFormat="1" borderId="10" applyBorder="1" fontId="20" applyFont="1" fillId="0" applyAlignment="1">
      <alignment horizontal="right"/>
    </xf>
    <xf xfId="0" numFmtId="4" applyNumberFormat="1" borderId="10" applyBorder="1" fontId="36" applyFont="1" fillId="0" applyAlignment="1">
      <alignment horizontal="right"/>
    </xf>
    <xf xfId="0" numFmtId="4" applyNumberFormat="1" borderId="93" applyBorder="1" fontId="35" applyFont="1" fillId="0" applyAlignment="1">
      <alignment horizontal="right"/>
    </xf>
    <xf xfId="0" numFmtId="165" applyNumberFormat="1" borderId="1" applyBorder="1" fontId="20" applyFont="1" fillId="0" applyAlignment="1">
      <alignment horizontal="left"/>
    </xf>
    <xf xfId="0" numFmtId="4" applyNumberFormat="1" borderId="10" applyBorder="1" fontId="34" applyFont="1" fillId="0" applyAlignment="1">
      <alignment horizontal="right"/>
    </xf>
    <xf xfId="0" numFmtId="4" applyNumberFormat="1" borderId="1" applyBorder="1" fontId="37" applyFont="1" fillId="0" applyAlignment="1">
      <alignment horizontal="center"/>
    </xf>
    <xf xfId="0" numFmtId="4" applyNumberFormat="1" borderId="1" applyBorder="1" fontId="35" applyFont="1" fillId="0" applyAlignment="1">
      <alignment horizontal="center"/>
    </xf>
    <xf xfId="0" numFmtId="166" applyNumberFormat="1" borderId="10" applyBorder="1" fontId="20" applyFont="1" fillId="0" applyAlignment="1">
      <alignment horizontal="right"/>
    </xf>
    <xf xfId="0" numFmtId="7" applyNumberFormat="1" borderId="10" applyBorder="1" fontId="20" applyFont="1" fillId="2" applyFill="1" applyAlignment="1">
      <alignment horizontal="right"/>
    </xf>
    <xf xfId="0" numFmtId="4" applyNumberFormat="1" borderId="1" applyBorder="1" fontId="38" applyFont="1" fillId="0" applyAlignment="1">
      <alignment horizontal="right"/>
    </xf>
    <xf xfId="0" numFmtId="7" applyNumberFormat="1" borderId="94" applyBorder="1" fontId="20" applyFont="1" fillId="0" applyAlignment="1">
      <alignment horizontal="right"/>
    </xf>
    <xf xfId="0" numFmtId="4" applyNumberFormat="1" borderId="95" applyBorder="1" fontId="20" applyFont="1" fillId="0" applyAlignment="1">
      <alignment horizontal="right"/>
    </xf>
    <xf xfId="0" numFmtId="4" applyNumberFormat="1" borderId="95" applyBorder="1" fontId="20" applyFont="1" fillId="2" applyFill="1" applyAlignment="1">
      <alignment horizontal="right"/>
    </xf>
    <xf xfId="0" numFmtId="4" applyNumberFormat="1" borderId="94" applyBorder="1" fontId="20" applyFont="1" fillId="0" applyAlignment="1">
      <alignment horizontal="right"/>
    </xf>
    <xf xfId="0" numFmtId="4" applyNumberFormat="1" borderId="96" applyBorder="1" fontId="35" applyFont="1" fillId="0" applyAlignment="1">
      <alignment horizontal="right"/>
    </xf>
    <xf xfId="0" numFmtId="16" applyNumberFormat="1" borderId="1" applyBorder="1" fontId="20" applyFont="1" fillId="0" applyAlignment="1">
      <alignment horizontal="left"/>
    </xf>
    <xf xfId="0" numFmtId="4" applyNumberFormat="1" borderId="97" applyBorder="1" fontId="20" applyFont="1" fillId="0" applyAlignment="1">
      <alignment horizontal="right"/>
    </xf>
    <xf xfId="0" numFmtId="4" applyNumberFormat="1" borderId="98" applyBorder="1" fontId="20" applyFont="1" fillId="2" applyFill="1" applyAlignment="1">
      <alignment horizontal="right"/>
    </xf>
    <xf xfId="0" numFmtId="4" applyNumberFormat="1" borderId="99" applyBorder="1" fontId="34" applyFont="1" fillId="0" applyAlignment="1">
      <alignment horizontal="right"/>
    </xf>
    <xf xfId="0" numFmtId="4" applyNumberFormat="1" borderId="1" applyBorder="1" fontId="34" applyFont="1" fillId="0" applyAlignment="1">
      <alignment horizontal="right"/>
    </xf>
    <xf xfId="0" numFmtId="4" applyNumberFormat="1" borderId="1" applyBorder="1" fontId="20" applyFont="1" fillId="0" applyAlignment="1">
      <alignment horizontal="left"/>
    </xf>
    <xf xfId="0" numFmtId="4" applyNumberFormat="1" borderId="1" applyBorder="1" fontId="39" applyFont="1" fillId="0" applyAlignment="1">
      <alignment horizontal="right"/>
    </xf>
    <xf xfId="0" numFmtId="4" applyNumberFormat="1" borderId="1" applyBorder="1" fontId="35" applyFont="1" fillId="0" applyAlignment="1">
      <alignment horizontal="right"/>
    </xf>
    <xf xfId="0" numFmtId="4" applyNumberFormat="1" borderId="1" applyBorder="1" fontId="40" applyFont="1" fillId="0" applyAlignment="1">
      <alignment horizontal="right"/>
    </xf>
    <xf xfId="0" numFmtId="4" applyNumberFormat="1" borderId="1" applyBorder="1" fontId="4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03"/>
  <sheetViews>
    <sheetView workbookViewId="0"/>
  </sheetViews>
  <sheetFormatPr defaultRowHeight="15" x14ac:dyDescent="0.25"/>
  <cols>
    <col min="1" max="1" style="299" width="10.147857142857141" customWidth="1" bestFit="1"/>
    <col min="2" max="2" style="67" width="4.576428571428571" customWidth="1" bestFit="1"/>
    <col min="3" max="3" style="90" width="11.862142857142858" customWidth="1" bestFit="1"/>
    <col min="4" max="4" style="90" width="10.719285714285713" customWidth="1" bestFit="1"/>
    <col min="5" max="5" style="90" width="11.290714285714287" customWidth="1" bestFit="1"/>
    <col min="6" max="6" style="90" width="10.719285714285713" customWidth="1" bestFit="1"/>
    <col min="7" max="7" style="90" width="10.719285714285713" customWidth="1" bestFit="1"/>
    <col min="8" max="8" style="90" width="10.719285714285713" customWidth="1" bestFit="1"/>
    <col min="9" max="9" style="90" width="10.719285714285713" customWidth="1" bestFit="1"/>
    <col min="10" max="10" style="90" width="11.862142857142858" customWidth="1" bestFit="1"/>
    <col min="11" max="11" style="90" width="11.290714285714287" customWidth="1" bestFit="1"/>
    <col min="12" max="12" style="90" width="12.290714285714287" customWidth="1" bestFit="1"/>
    <col min="13" max="13" style="90" width="13.43357142857143" customWidth="1" bestFit="1"/>
    <col min="14" max="14" style="67" width="4.147857142857143" customWidth="1" bestFit="1"/>
    <col min="15" max="15" style="90" width="13.862142857142858" customWidth="1" bestFit="1"/>
    <col min="16" max="16" style="90" width="12.290714285714287" customWidth="1" bestFit="1"/>
    <col min="17" max="17" style="90" width="12.43357142857143" customWidth="1" bestFit="1"/>
    <col min="18" max="18" style="90" width="13.576428571428572" customWidth="1" bestFit="1"/>
    <col min="19" max="19" style="67" width="4.433571428571429" customWidth="1" bestFit="1"/>
    <col min="20" max="20" style="90" width="15.005" customWidth="1" bestFit="1"/>
    <col min="21" max="21" style="67" width="8.862142857142858" customWidth="1" bestFit="1"/>
    <col min="22" max="22" style="67" width="10.290714285714287" customWidth="1" bestFit="1"/>
  </cols>
  <sheetData>
    <row x14ac:dyDescent="0.25" r="1" customHeight="1" ht="18.75">
      <c r="A1" s="427" t="s">
        <v>200</v>
      </c>
      <c r="B1" s="5"/>
      <c r="C1" s="428" t="s">
        <v>201</v>
      </c>
      <c r="D1" s="429">
        <v>2022</v>
      </c>
      <c r="E1" s="73"/>
      <c r="F1" s="73"/>
      <c r="G1" s="430"/>
      <c r="H1" s="73"/>
      <c r="I1" s="73"/>
      <c r="J1" s="73"/>
      <c r="K1" s="73"/>
      <c r="L1" s="73"/>
      <c r="M1" s="73"/>
      <c r="N1" s="5"/>
      <c r="O1" s="73"/>
      <c r="P1" s="73"/>
      <c r="Q1" s="73"/>
      <c r="R1" s="73"/>
      <c r="S1" s="5"/>
      <c r="T1" s="73"/>
      <c r="U1" s="5"/>
      <c r="V1" s="5"/>
    </row>
    <row x14ac:dyDescent="0.25" r="2" customHeight="1" ht="18.75">
      <c r="A2" s="275"/>
      <c r="B2" s="5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5"/>
      <c r="O2" s="73"/>
      <c r="P2" s="73"/>
      <c r="Q2" s="73"/>
      <c r="R2" s="73"/>
      <c r="S2" s="5"/>
      <c r="T2" s="73"/>
      <c r="U2" s="5"/>
      <c r="V2" s="5"/>
    </row>
    <row x14ac:dyDescent="0.25" r="3" customHeight="1" ht="18.75">
      <c r="A3" s="431"/>
      <c r="B3" s="5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5"/>
      <c r="O3" s="73"/>
      <c r="P3" s="73"/>
      <c r="Q3" s="73"/>
      <c r="R3" s="73"/>
      <c r="S3" s="5"/>
      <c r="T3" s="73"/>
      <c r="U3" s="5"/>
      <c r="V3" s="5"/>
    </row>
    <row x14ac:dyDescent="0.25" r="4" customHeight="1" ht="18.75">
      <c r="A4" s="275"/>
      <c r="B4" s="432"/>
      <c r="C4" s="433" t="s">
        <v>202</v>
      </c>
      <c r="D4" s="434"/>
      <c r="E4" s="434"/>
      <c r="F4" s="434"/>
      <c r="G4" s="434"/>
      <c r="H4" s="434"/>
      <c r="I4" s="434"/>
      <c r="J4" s="434"/>
      <c r="K4" s="434"/>
      <c r="L4" s="434"/>
      <c r="M4" s="435"/>
      <c r="N4" s="436"/>
      <c r="O4" s="433" t="s">
        <v>203</v>
      </c>
      <c r="P4" s="434"/>
      <c r="Q4" s="434"/>
      <c r="R4" s="435"/>
      <c r="S4" s="436"/>
      <c r="T4" s="437" t="s">
        <v>204</v>
      </c>
      <c r="U4" s="5"/>
      <c r="V4" s="5"/>
    </row>
    <row x14ac:dyDescent="0.25" r="5" customHeight="1" ht="18.75">
      <c r="A5" s="275"/>
      <c r="B5" s="438"/>
      <c r="C5" s="439"/>
      <c r="D5" s="439"/>
      <c r="E5" s="439" t="s">
        <v>205</v>
      </c>
      <c r="F5" s="439" t="s">
        <v>206</v>
      </c>
      <c r="G5" s="439" t="s">
        <v>207</v>
      </c>
      <c r="H5" s="439" t="s">
        <v>207</v>
      </c>
      <c r="I5" s="440" t="s">
        <v>208</v>
      </c>
      <c r="J5" s="440" t="s">
        <v>209</v>
      </c>
      <c r="K5" s="440" t="s">
        <v>210</v>
      </c>
      <c r="L5" s="439" t="s">
        <v>211</v>
      </c>
      <c r="M5" s="441" t="s">
        <v>211</v>
      </c>
      <c r="N5" s="5"/>
      <c r="O5" s="439"/>
      <c r="P5" s="441" t="s">
        <v>212</v>
      </c>
      <c r="Q5" s="439"/>
      <c r="R5" s="439"/>
      <c r="S5" s="5"/>
      <c r="T5" s="73"/>
      <c r="U5" s="5"/>
      <c r="V5" s="5"/>
    </row>
    <row x14ac:dyDescent="0.25" r="6" customHeight="1" ht="18.75">
      <c r="A6" s="275"/>
      <c r="B6" s="432"/>
      <c r="C6" s="442" t="s">
        <v>207</v>
      </c>
      <c r="D6" s="443" t="s">
        <v>208</v>
      </c>
      <c r="E6" s="444" t="s">
        <v>213</v>
      </c>
      <c r="F6" s="444" t="s">
        <v>213</v>
      </c>
      <c r="G6" s="443" t="s">
        <v>214</v>
      </c>
      <c r="H6" s="443" t="s">
        <v>215</v>
      </c>
      <c r="I6" s="445" t="s">
        <v>213</v>
      </c>
      <c r="J6" s="445" t="s">
        <v>213</v>
      </c>
      <c r="K6" s="445" t="s">
        <v>216</v>
      </c>
      <c r="L6" s="444" t="s">
        <v>217</v>
      </c>
      <c r="M6" s="446" t="s">
        <v>218</v>
      </c>
      <c r="N6" s="436"/>
      <c r="O6" s="447" t="s">
        <v>219</v>
      </c>
      <c r="P6" s="441" t="s">
        <v>220</v>
      </c>
      <c r="Q6" s="447" t="s">
        <v>221</v>
      </c>
      <c r="R6" s="447" t="s">
        <v>217</v>
      </c>
      <c r="S6" s="436"/>
      <c r="T6" s="73"/>
      <c r="U6" s="5"/>
      <c r="V6" s="5"/>
    </row>
    <row x14ac:dyDescent="0.25" r="7" customHeight="1" ht="18.75">
      <c r="A7" s="448" t="s">
        <v>222</v>
      </c>
      <c r="B7" s="449"/>
      <c r="C7" s="450"/>
      <c r="D7" s="451"/>
      <c r="E7" s="452"/>
      <c r="F7" s="452"/>
      <c r="G7" s="451"/>
      <c r="H7" s="451"/>
      <c r="I7" s="451"/>
      <c r="J7" s="451"/>
      <c r="K7" s="451"/>
      <c r="L7" s="452"/>
      <c r="M7" s="453"/>
      <c r="N7" s="439"/>
      <c r="O7" s="454"/>
      <c r="P7" s="455"/>
      <c r="Q7" s="455"/>
      <c r="R7" s="456"/>
      <c r="S7" s="439"/>
      <c r="T7" s="430"/>
      <c r="U7" s="430"/>
      <c r="V7" s="430"/>
    </row>
    <row x14ac:dyDescent="0.25" r="8" customHeight="1" ht="18.75">
      <c r="A8" s="457">
        <v>44682</v>
      </c>
      <c r="B8" s="458">
        <f>TEXT(A8, "0")</f>
      </c>
      <c r="C8" s="459">
        <f>TRANSPOSE(Pool!C33:AG33)</f>
      </c>
      <c r="D8" s="451">
        <f>'Box Canon'!C18+'Box Canon'!C19</f>
      </c>
      <c r="E8" s="452"/>
      <c r="F8" s="452"/>
      <c r="G8" s="451">
        <f>TRANSPOSE(Pool!C34:AG34)</f>
      </c>
      <c r="H8" s="451">
        <f>TRANSPOSE(Pool!C35:AG35)</f>
      </c>
      <c r="I8" s="451">
        <f>'Box Canon'!C20+'Box Canon'!C21</f>
      </c>
      <c r="J8" s="460"/>
      <c r="K8" s="460"/>
      <c r="L8" s="452"/>
      <c r="M8" s="453"/>
      <c r="N8" s="439"/>
      <c r="O8" s="459"/>
      <c r="P8" s="451"/>
      <c r="Q8" s="461"/>
      <c r="R8" s="462"/>
      <c r="S8" s="439"/>
      <c r="T8" s="430"/>
      <c r="U8" s="430"/>
      <c r="V8" s="430"/>
    </row>
    <row x14ac:dyDescent="0.25" r="9" customHeight="1" ht="18.75">
      <c r="A9" s="463">
        <f>SUM(A8+1)</f>
        <v>25568.708333333332</v>
      </c>
      <c r="B9" s="458">
        <f>TEXT(A9, "0")</f>
      </c>
      <c r="C9" s="459">
        <v>784.41</v>
      </c>
      <c r="D9" s="451">
        <f>'Box Canon'!D18+'Box Canon'!D19</f>
      </c>
      <c r="E9" s="452"/>
      <c r="F9" s="452"/>
      <c r="G9" s="451">
        <v>1642.35</v>
      </c>
      <c r="H9" s="451">
        <v>28</v>
      </c>
      <c r="I9" s="451">
        <f>'Box Canon'!D20+'Box Canon'!D21</f>
      </c>
      <c r="J9" s="460"/>
      <c r="K9" s="460"/>
      <c r="L9" s="452"/>
      <c r="M9" s="453"/>
      <c r="N9" s="439"/>
      <c r="O9" s="459"/>
      <c r="P9" s="464"/>
      <c r="Q9" s="461"/>
      <c r="R9" s="462"/>
      <c r="S9" s="439"/>
      <c r="T9" s="430"/>
      <c r="U9" s="430"/>
      <c r="V9" s="430"/>
    </row>
    <row x14ac:dyDescent="0.25" r="10" customHeight="1" ht="18.75">
      <c r="A10" s="463">
        <f>SUM(A9+1)</f>
        <v>25568.708333333332</v>
      </c>
      <c r="B10" s="458">
        <f>TEXT(A10, "0")</f>
      </c>
      <c r="C10" s="459">
        <v>0</v>
      </c>
      <c r="D10" s="451">
        <f>'Box Canon'!E18+'Box Canon'!E19</f>
      </c>
      <c r="E10" s="452"/>
      <c r="F10" s="452"/>
      <c r="G10" s="451">
        <v>290</v>
      </c>
      <c r="H10" s="451">
        <v>0</v>
      </c>
      <c r="I10" s="451">
        <f>'Box Canon'!E20+'Box Canon'!E21</f>
      </c>
      <c r="J10" s="460"/>
      <c r="K10" s="460"/>
      <c r="L10" s="452"/>
      <c r="M10" s="453"/>
      <c r="N10" s="439"/>
      <c r="O10" s="459"/>
      <c r="P10" s="451"/>
      <c r="Q10" s="461"/>
      <c r="R10" s="462"/>
      <c r="S10" s="439"/>
      <c r="T10" s="430"/>
      <c r="U10" s="430"/>
      <c r="V10" s="430"/>
    </row>
    <row x14ac:dyDescent="0.25" r="11" customHeight="1" ht="18.75">
      <c r="A11" s="463">
        <f>SUM(A10+1)</f>
        <v>25568.708333333332</v>
      </c>
      <c r="B11" s="458">
        <f>TEXT(A11, "0")</f>
      </c>
      <c r="C11" s="459">
        <v>468.77</v>
      </c>
      <c r="D11" s="451">
        <f>'Box Canon'!F18+'Box Canon'!F19</f>
      </c>
      <c r="E11" s="452"/>
      <c r="F11" s="452"/>
      <c r="G11" s="451">
        <v>1149.35</v>
      </c>
      <c r="H11" s="122">
        <v>0</v>
      </c>
      <c r="I11" s="451">
        <f>'Box Canon'!F20+'Box Canon'!F21</f>
      </c>
      <c r="J11" s="460"/>
      <c r="K11" s="460"/>
      <c r="L11" s="452"/>
      <c r="M11" s="453"/>
      <c r="N11" s="439"/>
      <c r="O11" s="459"/>
      <c r="P11" s="451"/>
      <c r="Q11" s="451"/>
      <c r="R11" s="462"/>
      <c r="S11" s="439"/>
      <c r="T11" s="430"/>
      <c r="U11" s="430"/>
      <c r="V11" s="430"/>
    </row>
    <row x14ac:dyDescent="0.25" r="12" customHeight="1" ht="18.75">
      <c r="A12" s="463">
        <f>SUM(A11+1)</f>
        <v>25568.708333333332</v>
      </c>
      <c r="B12" s="458">
        <f>TEXT(A12, "0")</f>
      </c>
      <c r="C12" s="459">
        <v>303.56</v>
      </c>
      <c r="D12" s="451">
        <f>'Box Canon'!G18+'Box Canon'!G19</f>
      </c>
      <c r="E12" s="452"/>
      <c r="F12" s="452"/>
      <c r="G12" s="451">
        <v>1566.19</v>
      </c>
      <c r="H12" s="122">
        <v>0</v>
      </c>
      <c r="I12" s="451">
        <f>'Box Canon'!G20+'Box Canon'!G21</f>
      </c>
      <c r="J12" s="460"/>
      <c r="K12" s="460"/>
      <c r="L12" s="452"/>
      <c r="M12" s="453"/>
      <c r="N12" s="465"/>
      <c r="O12" s="459"/>
      <c r="P12" s="451"/>
      <c r="Q12" s="451"/>
      <c r="R12" s="462"/>
      <c r="S12" s="439"/>
      <c r="T12" s="430"/>
      <c r="U12" s="430"/>
      <c r="V12" s="430"/>
    </row>
    <row x14ac:dyDescent="0.25" r="13" customHeight="1" ht="18.75">
      <c r="A13" s="463">
        <f>SUM(A12+1)</f>
        <v>25568.708333333332</v>
      </c>
      <c r="B13" s="458">
        <f>TEXT(A13, "0")</f>
      </c>
      <c r="C13" s="459">
        <v>815.61</v>
      </c>
      <c r="D13" s="451">
        <f>'Box Canon'!H18+'Box Canon'!H19</f>
      </c>
      <c r="E13" s="452"/>
      <c r="F13" s="452"/>
      <c r="G13" s="451">
        <v>2247.34</v>
      </c>
      <c r="H13" s="122">
        <v>0</v>
      </c>
      <c r="I13" s="451">
        <f>'Box Canon'!H20+'Box Canon'!H21</f>
      </c>
      <c r="J13" s="460"/>
      <c r="K13" s="460"/>
      <c r="L13" s="452"/>
      <c r="M13" s="453"/>
      <c r="N13" s="439"/>
      <c r="O13" s="459"/>
      <c r="P13" s="451"/>
      <c r="Q13" s="451"/>
      <c r="R13" s="462"/>
      <c r="S13" s="466"/>
      <c r="T13" s="430"/>
      <c r="U13" s="430"/>
      <c r="V13" s="430"/>
    </row>
    <row x14ac:dyDescent="0.25" r="14" customHeight="1" ht="18.75">
      <c r="A14" s="463">
        <f>SUM(A13+1)</f>
        <v>25568.708333333332</v>
      </c>
      <c r="B14" s="458">
        <f>TEXT(A14, "0")</f>
      </c>
      <c r="C14" s="459">
        <v>1413.42</v>
      </c>
      <c r="D14" s="451">
        <f>'Box Canon'!I18+'Box Canon'!I19</f>
      </c>
      <c r="E14" s="452"/>
      <c r="F14" s="452"/>
      <c r="G14" s="451">
        <v>5000.69</v>
      </c>
      <c r="H14" s="122">
        <v>0</v>
      </c>
      <c r="I14" s="451">
        <f>'Box Canon'!I20+'Box Canon'!I21</f>
      </c>
      <c r="J14" s="460"/>
      <c r="K14" s="460"/>
      <c r="L14" s="452"/>
      <c r="M14" s="453"/>
      <c r="N14" s="439"/>
      <c r="O14" s="459"/>
      <c r="P14" s="451"/>
      <c r="Q14" s="451"/>
      <c r="R14" s="462"/>
      <c r="S14" s="439"/>
      <c r="T14" s="430"/>
      <c r="U14" s="430"/>
      <c r="V14" s="430"/>
    </row>
    <row x14ac:dyDescent="0.25" r="15" customHeight="1" ht="18.75">
      <c r="A15" s="463">
        <f>SUM(A14+1)</f>
        <v>25568.708333333332</v>
      </c>
      <c r="B15" s="458">
        <f>TEXT(A15, "0")</f>
      </c>
      <c r="C15" s="459">
        <v>1132.23</v>
      </c>
      <c r="D15" s="451">
        <f>'Box Canon'!J18+'Box Canon'!J19</f>
      </c>
      <c r="E15" s="452"/>
      <c r="F15" s="452"/>
      <c r="G15" s="451">
        <v>3242.16</v>
      </c>
      <c r="H15" s="122">
        <v>0</v>
      </c>
      <c r="I15" s="451">
        <f>'Box Canon'!J20+'Box Canon'!J21</f>
      </c>
      <c r="J15" s="460"/>
      <c r="K15" s="460"/>
      <c r="L15" s="452"/>
      <c r="M15" s="453"/>
      <c r="N15" s="465"/>
      <c r="O15" s="459"/>
      <c r="P15" s="451"/>
      <c r="Q15" s="451"/>
      <c r="R15" s="462"/>
      <c r="S15" s="439"/>
      <c r="T15" s="430"/>
      <c r="U15" s="430"/>
      <c r="V15" s="430"/>
    </row>
    <row x14ac:dyDescent="0.25" r="16" customHeight="1" ht="18.75">
      <c r="A16" s="463">
        <f>SUM(A15+1)</f>
        <v>25568.708333333332</v>
      </c>
      <c r="B16" s="458">
        <f>TEXT(A16, "0")</f>
      </c>
      <c r="C16" s="459">
        <v>342.55</v>
      </c>
      <c r="D16" s="451">
        <f>'Box Canon'!K18+'Box Canon'!K19</f>
      </c>
      <c r="E16" s="452"/>
      <c r="F16" s="452"/>
      <c r="G16" s="451">
        <v>537.33</v>
      </c>
      <c r="H16" s="122">
        <v>0</v>
      </c>
      <c r="I16" s="451">
        <f>'Box Canon'!K20+'Box Canon'!K21</f>
      </c>
      <c r="J16" s="460"/>
      <c r="K16" s="460"/>
      <c r="L16" s="452"/>
      <c r="M16" s="453"/>
      <c r="N16" s="439"/>
      <c r="O16" s="459"/>
      <c r="P16" s="451"/>
      <c r="Q16" s="451"/>
      <c r="R16" s="462"/>
      <c r="S16" s="439"/>
      <c r="T16" s="430"/>
      <c r="U16" s="430"/>
      <c r="V16" s="430"/>
    </row>
    <row x14ac:dyDescent="0.25" r="17" customHeight="1" ht="18.75">
      <c r="A17" s="463">
        <f>SUM(A16+1)</f>
        <v>25568.708333333332</v>
      </c>
      <c r="B17" s="458">
        <f>TEXT(A17, "0")</f>
      </c>
      <c r="C17" s="459">
        <v>0</v>
      </c>
      <c r="D17" s="451">
        <f>'Box Canon'!L18+'Box Canon'!L19</f>
      </c>
      <c r="E17" s="452"/>
      <c r="F17" s="452"/>
      <c r="G17" s="451">
        <v>0</v>
      </c>
      <c r="H17" s="122">
        <v>0</v>
      </c>
      <c r="I17" s="451">
        <f>'Box Canon'!L20+'Box Canon'!L21</f>
      </c>
      <c r="J17" s="460"/>
      <c r="K17" s="460"/>
      <c r="L17" s="452"/>
      <c r="M17" s="453"/>
      <c r="N17" s="439"/>
      <c r="O17" s="459"/>
      <c r="P17" s="451"/>
      <c r="Q17" s="451"/>
      <c r="R17" s="462"/>
      <c r="S17" s="439"/>
      <c r="T17" s="430"/>
      <c r="U17" s="430"/>
      <c r="V17" s="430"/>
    </row>
    <row x14ac:dyDescent="0.25" r="18" customHeight="1" ht="18.75">
      <c r="A18" s="463">
        <f>SUM(A17+1)</f>
        <v>25568.708333333332</v>
      </c>
      <c r="B18" s="458">
        <f>TEXT(A18, "0")</f>
      </c>
      <c r="C18" s="459">
        <v>364.92</v>
      </c>
      <c r="D18" s="451">
        <f>'Box Canon'!M18+'Box Canon'!M19</f>
      </c>
      <c r="E18" s="452"/>
      <c r="F18" s="452"/>
      <c r="G18" s="451">
        <v>2218.05</v>
      </c>
      <c r="H18" s="122">
        <v>0</v>
      </c>
      <c r="I18" s="451">
        <f>'Box Canon'!M20+'Box Canon'!M21</f>
      </c>
      <c r="J18" s="460"/>
      <c r="K18" s="460"/>
      <c r="L18" s="452"/>
      <c r="M18" s="453"/>
      <c r="N18" s="439"/>
      <c r="O18" s="459"/>
      <c r="P18" s="451"/>
      <c r="Q18" s="451"/>
      <c r="R18" s="462"/>
      <c r="S18" s="439"/>
      <c r="T18" s="430"/>
      <c r="U18" s="430"/>
      <c r="V18" s="430"/>
    </row>
    <row x14ac:dyDescent="0.25" r="19" customHeight="1" ht="18.75">
      <c r="A19" s="463">
        <f>SUM(A18+1)</f>
        <v>25568.708333333332</v>
      </c>
      <c r="B19" s="458">
        <f>TEXT(A19, "0")</f>
      </c>
      <c r="C19" s="459">
        <v>342.7</v>
      </c>
      <c r="D19" s="451">
        <f>'Box Canon'!N18+'Box Canon'!N19</f>
      </c>
      <c r="E19" s="452"/>
      <c r="F19" s="452"/>
      <c r="G19" s="451">
        <v>1474.45</v>
      </c>
      <c r="H19" s="122">
        <v>0</v>
      </c>
      <c r="I19" s="451">
        <f>'Box Canon'!N20+'Box Canon'!N21</f>
      </c>
      <c r="J19" s="460"/>
      <c r="K19" s="460"/>
      <c r="L19" s="452"/>
      <c r="M19" s="453"/>
      <c r="N19" s="439"/>
      <c r="O19" s="459"/>
      <c r="P19" s="451"/>
      <c r="Q19" s="451"/>
      <c r="R19" s="462"/>
      <c r="S19" s="439"/>
      <c r="T19" s="430"/>
      <c r="U19" s="430"/>
      <c r="V19" s="430"/>
    </row>
    <row x14ac:dyDescent="0.25" r="20" customHeight="1" ht="18.75">
      <c r="A20" s="463">
        <f>SUM(A19+1)</f>
        <v>25568.708333333332</v>
      </c>
      <c r="B20" s="458">
        <f>TEXT(A20, "0")</f>
      </c>
      <c r="C20" s="459">
        <v>1768</v>
      </c>
      <c r="D20" s="451">
        <f>'Box Canon'!O18+'Box Canon'!O19</f>
      </c>
      <c r="E20" s="452"/>
      <c r="F20" s="452"/>
      <c r="G20" s="451">
        <v>2235.15</v>
      </c>
      <c r="H20" s="122">
        <v>0</v>
      </c>
      <c r="I20" s="451">
        <f>'Box Canon'!O20+'Box Canon'!O21</f>
      </c>
      <c r="J20" s="460"/>
      <c r="K20" s="460"/>
      <c r="L20" s="452"/>
      <c r="M20" s="453"/>
      <c r="N20" s="439"/>
      <c r="O20" s="459"/>
      <c r="P20" s="467"/>
      <c r="Q20" s="451"/>
      <c r="R20" s="462"/>
      <c r="S20" s="439"/>
      <c r="T20" s="430"/>
      <c r="U20" s="430"/>
      <c r="V20" s="430"/>
    </row>
    <row x14ac:dyDescent="0.25" r="21" customHeight="1" ht="18.75">
      <c r="A21" s="463">
        <f>SUM(A20+1)</f>
        <v>25568.708333333332</v>
      </c>
      <c r="B21" s="458">
        <f>TEXT(A21, "0")</f>
      </c>
      <c r="C21" s="459">
        <v>1126.28</v>
      </c>
      <c r="D21" s="451">
        <f>'Box Canon'!P18+'Box Canon'!P19</f>
      </c>
      <c r="E21" s="452"/>
      <c r="F21" s="452"/>
      <c r="G21" s="451">
        <v>5826.89</v>
      </c>
      <c r="H21" s="122">
        <v>0</v>
      </c>
      <c r="I21" s="451">
        <f>'Box Canon'!P20+'Box Canon'!P21</f>
      </c>
      <c r="J21" s="460"/>
      <c r="K21" s="460"/>
      <c r="L21" s="452"/>
      <c r="M21" s="453"/>
      <c r="N21" s="439"/>
      <c r="O21" s="459"/>
      <c r="P21" s="451"/>
      <c r="Q21" s="451"/>
      <c r="R21" s="462"/>
      <c r="S21" s="439"/>
      <c r="T21" s="430"/>
      <c r="U21" s="430"/>
      <c r="V21" s="430"/>
    </row>
    <row x14ac:dyDescent="0.25" r="22" customHeight="1" ht="18.75">
      <c r="A22" s="463">
        <f>SUM(A21+1)</f>
        <v>25568.708333333332</v>
      </c>
      <c r="B22" s="458">
        <f>TEXT(A22, "0")</f>
      </c>
      <c r="C22" s="459">
        <v>1663.31</v>
      </c>
      <c r="D22" s="451">
        <f>'Box Canon'!Q18+'Box Canon'!Q19</f>
      </c>
      <c r="E22" s="452"/>
      <c r="F22" s="452"/>
      <c r="G22" s="451">
        <v>5309.49</v>
      </c>
      <c r="H22" s="122">
        <v>0</v>
      </c>
      <c r="I22" s="451">
        <f>'Box Canon'!Q20+'Box Canon'!Q21</f>
      </c>
      <c r="J22" s="460"/>
      <c r="K22" s="460"/>
      <c r="L22" s="452"/>
      <c r="M22" s="453"/>
      <c r="N22" s="439"/>
      <c r="O22" s="459"/>
      <c r="P22" s="451"/>
      <c r="Q22" s="451"/>
      <c r="R22" s="462"/>
      <c r="S22" s="439"/>
      <c r="T22" s="430"/>
      <c r="U22" s="430"/>
      <c r="V22" s="430"/>
    </row>
    <row x14ac:dyDescent="0.25" r="23" customHeight="1" ht="18.75">
      <c r="A23" s="463">
        <f>SUM(A22+1)</f>
        <v>25568.708333333332</v>
      </c>
      <c r="B23" s="458">
        <f>TEXT(A23, "0")</f>
      </c>
      <c r="C23" s="459">
        <v>423.2</v>
      </c>
      <c r="D23" s="451">
        <f>'Box Canon'!R18+'Box Canon'!R19</f>
      </c>
      <c r="E23" s="452"/>
      <c r="F23" s="452"/>
      <c r="G23" s="451">
        <v>2360.25</v>
      </c>
      <c r="H23" s="122">
        <v>0</v>
      </c>
      <c r="I23" s="451">
        <f>'Box Canon'!R20+'Box Canon'!R21</f>
      </c>
      <c r="J23" s="460"/>
      <c r="K23" s="460"/>
      <c r="L23" s="452"/>
      <c r="M23" s="453"/>
      <c r="N23" s="439"/>
      <c r="O23" s="459"/>
      <c r="P23" s="451"/>
      <c r="Q23" s="451"/>
      <c r="R23" s="462"/>
      <c r="S23" s="439"/>
      <c r="T23" s="430"/>
      <c r="U23" s="430"/>
      <c r="V23" s="430"/>
    </row>
    <row x14ac:dyDescent="0.25" r="24" customHeight="1" ht="18.75">
      <c r="A24" s="463">
        <f>SUM(A23+1)</f>
        <v>25568.708333333332</v>
      </c>
      <c r="B24" s="458">
        <f>TEXT(A24, "0")</f>
      </c>
      <c r="C24" s="459">
        <v>0</v>
      </c>
      <c r="D24" s="451">
        <f>'Box Canon'!S18+'Box Canon'!S19</f>
      </c>
      <c r="E24" s="452"/>
      <c r="F24" s="452"/>
      <c r="G24" s="451">
        <v>0</v>
      </c>
      <c r="H24" s="122">
        <v>0</v>
      </c>
      <c r="I24" s="451">
        <f>'Box Canon'!S20+'Box Canon'!S21</f>
      </c>
      <c r="J24" s="460"/>
      <c r="K24" s="460"/>
      <c r="L24" s="452"/>
      <c r="M24" s="453"/>
      <c r="N24" s="439"/>
      <c r="O24" s="459"/>
      <c r="P24" s="451"/>
      <c r="Q24" s="451"/>
      <c r="R24" s="462"/>
      <c r="S24" s="439"/>
      <c r="T24" s="430"/>
      <c r="U24" s="430"/>
      <c r="V24" s="430"/>
    </row>
    <row x14ac:dyDescent="0.25" r="25" customHeight="1" ht="18.75">
      <c r="A25" s="463">
        <f>SUM(A24+1)</f>
        <v>25568.708333333332</v>
      </c>
      <c r="B25" s="458">
        <f>TEXT(A25, "0")</f>
      </c>
      <c r="C25" s="459">
        <v>463.17</v>
      </c>
      <c r="D25" s="451">
        <f>'Box Canon'!T18+'Box Canon'!T19</f>
      </c>
      <c r="E25" s="452"/>
      <c r="F25" s="452"/>
      <c r="G25" s="451">
        <v>2078.45</v>
      </c>
      <c r="H25" s="122">
        <v>0</v>
      </c>
      <c r="I25" s="451">
        <f>'Box Canon'!T20+'Box Canon'!T21</f>
      </c>
      <c r="J25" s="460"/>
      <c r="K25" s="460"/>
      <c r="L25" s="452"/>
      <c r="M25" s="453"/>
      <c r="N25" s="439"/>
      <c r="O25" s="459"/>
      <c r="P25" s="451"/>
      <c r="Q25" s="451"/>
      <c r="R25" s="462"/>
      <c r="S25" s="439"/>
      <c r="T25" s="430"/>
      <c r="U25" s="430"/>
      <c r="V25" s="430"/>
    </row>
    <row x14ac:dyDescent="0.25" r="26" customHeight="1" ht="18.75">
      <c r="A26" s="463">
        <f>SUM(A25+1)</f>
        <v>25568.708333333332</v>
      </c>
      <c r="B26" s="458">
        <f>TEXT(A26, "0")</f>
      </c>
      <c r="C26" s="459">
        <v>662.57</v>
      </c>
      <c r="D26" s="451">
        <f>'Box Canon'!U18+'Box Canon'!U19</f>
      </c>
      <c r="E26" s="452"/>
      <c r="F26" s="452"/>
      <c r="G26" s="451">
        <v>1590.02</v>
      </c>
      <c r="H26" s="122">
        <v>0</v>
      </c>
      <c r="I26" s="451">
        <f>'Box Canon'!U20+'Box Canon'!U21</f>
      </c>
      <c r="J26" s="460"/>
      <c r="K26" s="460"/>
      <c r="L26" s="452"/>
      <c r="M26" s="453"/>
      <c r="N26" s="439"/>
      <c r="O26" s="459"/>
      <c r="P26" s="464"/>
      <c r="Q26" s="451"/>
      <c r="R26" s="462"/>
      <c r="S26" s="439"/>
      <c r="T26" s="430"/>
      <c r="U26" s="430"/>
      <c r="V26" s="430"/>
    </row>
    <row x14ac:dyDescent="0.25" r="27" customHeight="1" ht="18.75">
      <c r="A27" s="463">
        <f>SUM(A26+1)</f>
        <v>25568.708333333332</v>
      </c>
      <c r="B27" s="458">
        <f>TEXT(A27, "0")</f>
      </c>
      <c r="C27" s="459">
        <v>695.56</v>
      </c>
      <c r="D27" s="451">
        <f>'Box Canon'!V18+'Box Canon'!V19</f>
      </c>
      <c r="E27" s="452"/>
      <c r="F27" s="452"/>
      <c r="G27" s="451">
        <v>3312</v>
      </c>
      <c r="H27" s="122">
        <v>0</v>
      </c>
      <c r="I27" s="451">
        <f>'Box Canon'!V20+'Box Canon'!V21</f>
      </c>
      <c r="J27" s="460"/>
      <c r="K27" s="460"/>
      <c r="L27" s="452"/>
      <c r="M27" s="453"/>
      <c r="N27" s="439"/>
      <c r="O27" s="459"/>
      <c r="P27" s="451"/>
      <c r="Q27" s="451"/>
      <c r="R27" s="462"/>
      <c r="S27" s="439"/>
      <c r="T27" s="430"/>
      <c r="U27" s="430"/>
      <c r="V27" s="430"/>
    </row>
    <row x14ac:dyDescent="0.25" r="28" customHeight="1" ht="18.75">
      <c r="A28" s="463">
        <f>SUM(A27+1)</f>
        <v>25568.708333333332</v>
      </c>
      <c r="B28" s="458">
        <f>TEXT(A28, "0")</f>
      </c>
      <c r="C28" s="459">
        <v>708.55</v>
      </c>
      <c r="D28" s="451">
        <f>'Box Canon'!W18+'Box Canon'!W19</f>
      </c>
      <c r="E28" s="452"/>
      <c r="F28" s="452"/>
      <c r="G28" s="451">
        <v>7004.33</v>
      </c>
      <c r="H28" s="122">
        <v>0</v>
      </c>
      <c r="I28" s="451">
        <f>'Box Canon'!W20+'Box Canon'!W21</f>
      </c>
      <c r="J28" s="460"/>
      <c r="K28" s="460"/>
      <c r="L28" s="452"/>
      <c r="M28" s="453"/>
      <c r="N28" s="439"/>
      <c r="O28" s="459"/>
      <c r="P28" s="451"/>
      <c r="Q28" s="451"/>
      <c r="R28" s="462"/>
      <c r="S28" s="439"/>
      <c r="T28" s="430"/>
      <c r="U28" s="430"/>
      <c r="V28" s="430"/>
    </row>
    <row x14ac:dyDescent="0.25" r="29" customHeight="1" ht="18.75">
      <c r="A29" s="463">
        <f>SUM(A28+1)</f>
        <v>25568.708333333332</v>
      </c>
      <c r="B29" s="458">
        <f>TEXT(A29, "0")</f>
      </c>
      <c r="C29" s="459">
        <v>1055.25</v>
      </c>
      <c r="D29" s="451">
        <f>'Box Canon'!X18+'Box Canon'!X19</f>
      </c>
      <c r="E29" s="452"/>
      <c r="F29" s="452"/>
      <c r="G29" s="451">
        <v>5662.45</v>
      </c>
      <c r="H29" s="122">
        <v>0</v>
      </c>
      <c r="I29" s="451">
        <f>'Box Canon'!X20+'Box Canon'!X21</f>
      </c>
      <c r="J29" s="460"/>
      <c r="K29" s="460"/>
      <c r="L29" s="452"/>
      <c r="M29" s="453"/>
      <c r="N29" s="439"/>
      <c r="O29" s="459"/>
      <c r="P29" s="451"/>
      <c r="Q29" s="451"/>
      <c r="R29" s="462"/>
      <c r="S29" s="439"/>
      <c r="T29" s="430"/>
      <c r="U29" s="430"/>
      <c r="V29" s="430"/>
    </row>
    <row x14ac:dyDescent="0.25" r="30" customHeight="1" ht="18.75">
      <c r="A30" s="463">
        <f>SUM(A29+1)</f>
        <v>25568.708333333332</v>
      </c>
      <c r="B30" s="458">
        <f>TEXT(A30, "0")</f>
      </c>
      <c r="C30" s="459">
        <v>706.3</v>
      </c>
      <c r="D30" s="451">
        <f>'Box Canon'!Y18+'Box Canon'!Y19</f>
      </c>
      <c r="E30" s="452"/>
      <c r="F30" s="452"/>
      <c r="G30" s="451">
        <v>2618.13</v>
      </c>
      <c r="H30" s="122">
        <v>0</v>
      </c>
      <c r="I30" s="451">
        <f>'Box Canon'!Y20+'Box Canon'!Y21</f>
      </c>
      <c r="J30" s="460"/>
      <c r="K30" s="460"/>
      <c r="L30" s="452"/>
      <c r="M30" s="453"/>
      <c r="N30" s="439"/>
      <c r="O30" s="459"/>
      <c r="P30" s="451"/>
      <c r="Q30" s="451"/>
      <c r="R30" s="462"/>
      <c r="S30" s="439"/>
      <c r="T30" s="430"/>
      <c r="U30" s="430"/>
      <c r="V30" s="430"/>
    </row>
    <row x14ac:dyDescent="0.25" r="31" customHeight="1" ht="18.75">
      <c r="A31" s="463">
        <f>SUM(A30+1)</f>
        <v>25568.708333333332</v>
      </c>
      <c r="B31" s="458">
        <f>TEXT(A31, "0")</f>
      </c>
      <c r="C31" s="459">
        <v>844.18</v>
      </c>
      <c r="D31" s="451">
        <f>'Box Canon'!Z18+'Box Canon'!Z19</f>
      </c>
      <c r="E31" s="452"/>
      <c r="F31" s="452"/>
      <c r="G31" s="451">
        <v>2383.84</v>
      </c>
      <c r="H31" s="122">
        <v>0</v>
      </c>
      <c r="I31" s="451">
        <f>'Box Canon'!Z20+'Box Canon'!Z21</f>
      </c>
      <c r="J31" s="460"/>
      <c r="K31" s="460"/>
      <c r="L31" s="452"/>
      <c r="M31" s="453"/>
      <c r="N31" s="439"/>
      <c r="O31" s="459"/>
      <c r="P31" s="451"/>
      <c r="Q31" s="451"/>
      <c r="R31" s="462"/>
      <c r="S31" s="439"/>
      <c r="T31" s="430"/>
      <c r="U31" s="430"/>
      <c r="V31" s="430"/>
    </row>
    <row x14ac:dyDescent="0.25" r="32" customHeight="1" ht="18.75">
      <c r="A32" s="463">
        <f>SUM(A31+1)</f>
        <v>25568.708333333332</v>
      </c>
      <c r="B32" s="458">
        <f>TEXT(A32, "0")</f>
      </c>
      <c r="C32" s="459">
        <v>1366.03</v>
      </c>
      <c r="D32" s="451">
        <f>'Box Canon'!AA18+'Box Canon'!AA19</f>
      </c>
      <c r="E32" s="452"/>
      <c r="F32" s="452"/>
      <c r="G32" s="451">
        <v>4468.97</v>
      </c>
      <c r="H32" s="122">
        <v>0</v>
      </c>
      <c r="I32" s="451">
        <f>'Box Canon'!AA20+'Box Canon'!AA21</f>
      </c>
      <c r="J32" s="460"/>
      <c r="K32" s="460"/>
      <c r="L32" s="452"/>
      <c r="M32" s="453"/>
      <c r="N32" s="439"/>
      <c r="O32" s="459"/>
      <c r="P32" s="451"/>
      <c r="Q32" s="451"/>
      <c r="R32" s="462"/>
      <c r="S32" s="439"/>
      <c r="T32" s="430"/>
      <c r="U32" s="430"/>
      <c r="V32" s="430"/>
    </row>
    <row x14ac:dyDescent="0.25" r="33" customHeight="1" ht="18.75">
      <c r="A33" s="463">
        <f>SUM(A32+1)</f>
        <v>25568.708333333332</v>
      </c>
      <c r="B33" s="458">
        <f>TEXT(A33, "0")</f>
      </c>
      <c r="C33" s="459">
        <v>831.07</v>
      </c>
      <c r="D33" s="451">
        <f>'Box Canon'!AB18+'Box Canon'!AB19</f>
      </c>
      <c r="E33" s="452"/>
      <c r="F33" s="452"/>
      <c r="G33" s="451">
        <v>3178.15</v>
      </c>
      <c r="H33" s="122">
        <v>0</v>
      </c>
      <c r="I33" s="451">
        <f>'Box Canon'!AB20+'Box Canon'!AB21</f>
      </c>
      <c r="J33" s="460"/>
      <c r="K33" s="460"/>
      <c r="L33" s="452"/>
      <c r="M33" s="453"/>
      <c r="N33" s="439"/>
      <c r="O33" s="459"/>
      <c r="P33" s="451"/>
      <c r="Q33" s="451"/>
      <c r="R33" s="462"/>
      <c r="S33" s="439"/>
      <c r="T33" s="430"/>
      <c r="U33" s="430"/>
      <c r="V33" s="430"/>
    </row>
    <row x14ac:dyDescent="0.25" r="34" customHeight="1" ht="18.75">
      <c r="A34" s="463">
        <f>SUM(A33+1)</f>
        <v>25568.708333333332</v>
      </c>
      <c r="B34" s="458">
        <f>TEXT(A34, "0")</f>
      </c>
      <c r="C34" s="459">
        <v>788.94</v>
      </c>
      <c r="D34" s="451">
        <f>'Box Canon'!AC18+'Box Canon'!AC19</f>
      </c>
      <c r="E34" s="452"/>
      <c r="F34" s="452"/>
      <c r="G34" s="451">
        <v>4773.05</v>
      </c>
      <c r="H34" s="122">
        <v>0</v>
      </c>
      <c r="I34" s="451">
        <f>'Box Canon'!AC20+'Box Canon'!AC21</f>
      </c>
      <c r="J34" s="460"/>
      <c r="K34" s="460"/>
      <c r="L34" s="452"/>
      <c r="M34" s="453"/>
      <c r="N34" s="439"/>
      <c r="O34" s="459"/>
      <c r="P34" s="451"/>
      <c r="Q34" s="451"/>
      <c r="R34" s="462"/>
      <c r="S34" s="466"/>
      <c r="T34" s="430"/>
      <c r="U34" s="430"/>
      <c r="V34" s="430"/>
    </row>
    <row x14ac:dyDescent="0.25" r="35" customHeight="1" ht="18.75">
      <c r="A35" s="463">
        <f>SUM(A34+1)</f>
        <v>25568.708333333332</v>
      </c>
      <c r="B35" s="458">
        <f>TEXT(A35, "0")</f>
      </c>
      <c r="C35" s="459">
        <v>2309.08</v>
      </c>
      <c r="D35" s="451">
        <f>'Box Canon'!AD18+'Box Canon'!AD19</f>
      </c>
      <c r="E35" s="452"/>
      <c r="F35" s="452"/>
      <c r="G35" s="451">
        <v>12307.96</v>
      </c>
      <c r="H35" s="122">
        <v>0</v>
      </c>
      <c r="I35" s="451">
        <f>'Box Canon'!AD20+'Box Canon'!AD21</f>
      </c>
      <c r="J35" s="460"/>
      <c r="K35" s="460"/>
      <c r="L35" s="452"/>
      <c r="M35" s="453"/>
      <c r="N35" s="439"/>
      <c r="O35" s="459"/>
      <c r="P35" s="451"/>
      <c r="Q35" s="451"/>
      <c r="R35" s="462"/>
      <c r="S35" s="439"/>
      <c r="T35" s="430"/>
      <c r="U35" s="430"/>
      <c r="V35" s="430"/>
    </row>
    <row x14ac:dyDescent="0.25" r="36" customHeight="1" ht="18.75">
      <c r="A36" s="463">
        <f>SUM(A35+1)</f>
        <v>25568.708333333332</v>
      </c>
      <c r="B36" s="458">
        <f>TEXT(A36, "0")</f>
      </c>
      <c r="C36" s="459">
        <v>2504.82</v>
      </c>
      <c r="D36" s="451">
        <f>'Box Canon'!AE18+'Box Canon'!AE19</f>
      </c>
      <c r="E36" s="468"/>
      <c r="F36" s="452"/>
      <c r="G36" s="451">
        <v>14853.1</v>
      </c>
      <c r="H36" s="122">
        <v>0</v>
      </c>
      <c r="I36" s="451">
        <f>'Box Canon'!AE20+'Box Canon'!AE21</f>
      </c>
      <c r="J36" s="460"/>
      <c r="K36" s="460"/>
      <c r="L36" s="452"/>
      <c r="M36" s="453"/>
      <c r="N36" s="439"/>
      <c r="O36" s="459"/>
      <c r="P36" s="451"/>
      <c r="Q36" s="451"/>
      <c r="R36" s="462"/>
      <c r="S36" s="439"/>
      <c r="T36" s="430"/>
      <c r="U36" s="430"/>
      <c r="V36" s="430"/>
    </row>
    <row x14ac:dyDescent="0.25" r="37" customHeight="1" ht="18.75">
      <c r="A37" s="463">
        <f>SUM(A36+1)</f>
        <v>25568.708333333332</v>
      </c>
      <c r="B37" s="458">
        <f>TEXT(A37, "0")</f>
      </c>
      <c r="C37" s="459">
        <v>2348.82</v>
      </c>
      <c r="D37" s="451">
        <f>'Box Canon'!AF18+'Box Canon'!AF19</f>
      </c>
      <c r="E37" s="452"/>
      <c r="F37" s="452"/>
      <c r="G37" s="451">
        <v>7556.68</v>
      </c>
      <c r="H37" s="122">
        <v>0</v>
      </c>
      <c r="I37" s="451">
        <f>'Box Canon'!AF20+'Box Canon'!AF21</f>
      </c>
      <c r="J37" s="460"/>
      <c r="K37" s="460"/>
      <c r="L37" s="452"/>
      <c r="M37" s="453"/>
      <c r="N37" s="439"/>
      <c r="O37" s="459"/>
      <c r="P37" s="451"/>
      <c r="Q37" s="451"/>
      <c r="R37" s="462"/>
      <c r="S37" s="439"/>
      <c r="T37" s="430"/>
      <c r="U37" s="430"/>
      <c r="V37" s="430"/>
    </row>
    <row x14ac:dyDescent="0.25" r="38" customHeight="1" ht="18.75">
      <c r="A38" s="463">
        <f>SUM(A37+1)</f>
        <v>25568.708333333332</v>
      </c>
      <c r="B38" s="458">
        <f>TEXT(A38, "0")</f>
      </c>
      <c r="C38" s="459">
        <v>1088.39</v>
      </c>
      <c r="D38" s="451">
        <f>'Box Canon'!AG18+'Box Canon'!AG19</f>
      </c>
      <c r="E38" s="452"/>
      <c r="F38" s="452"/>
      <c r="G38" s="451">
        <v>4986.83</v>
      </c>
      <c r="H38" s="122">
        <v>0</v>
      </c>
      <c r="I38" s="451">
        <f>'Box Canon'!AG20+'Box Canon'!AG21</f>
      </c>
      <c r="J38" s="460"/>
      <c r="K38" s="460"/>
      <c r="L38" s="452"/>
      <c r="M38" s="453"/>
      <c r="N38" s="439"/>
      <c r="O38" s="459"/>
      <c r="P38" s="451"/>
      <c r="Q38" s="451"/>
      <c r="R38" s="462"/>
      <c r="S38" s="439"/>
      <c r="T38" s="430"/>
      <c r="U38" s="430"/>
      <c r="V38" s="430"/>
    </row>
    <row x14ac:dyDescent="0.25" r="39" customHeight="1" ht="18.75">
      <c r="A39" s="463" t="s">
        <v>223</v>
      </c>
      <c r="B39" s="469"/>
      <c r="C39" s="470"/>
      <c r="D39" s="471"/>
      <c r="E39" s="472"/>
      <c r="F39" s="472"/>
      <c r="G39" s="471"/>
      <c r="H39" s="471"/>
      <c r="I39" s="471"/>
      <c r="J39" s="471"/>
      <c r="K39" s="471"/>
      <c r="L39" s="472"/>
      <c r="M39" s="453"/>
      <c r="N39" s="439"/>
      <c r="O39" s="473"/>
      <c r="P39" s="471"/>
      <c r="Q39" s="471"/>
      <c r="R39" s="474"/>
      <c r="S39" s="439"/>
      <c r="T39" s="430"/>
      <c r="U39" s="430"/>
      <c r="V39" s="430"/>
    </row>
    <row x14ac:dyDescent="0.25" r="40" customHeight="1" ht="18.75">
      <c r="A40" s="475"/>
      <c r="B40" s="469"/>
      <c r="C40" s="476">
        <f>SUM(C8:C39)</f>
      </c>
      <c r="D40" s="476">
        <f>SUM(D8:D39)</f>
      </c>
      <c r="E40" s="477">
        <f>SUM(E8:E39)</f>
      </c>
      <c r="F40" s="477">
        <f>SUM(F8:F39)</f>
      </c>
      <c r="G40" s="476">
        <f>SUM(G8:G38)</f>
      </c>
      <c r="H40" s="476">
        <f>SUM(H8:H38)</f>
      </c>
      <c r="I40" s="476">
        <f>SUM(I8:I38)</f>
      </c>
      <c r="J40" s="476">
        <f>SUM(J8:J39)</f>
      </c>
      <c r="K40" s="476">
        <f>SUM(K8:K39)</f>
      </c>
      <c r="L40" s="477">
        <f>SUM(L8:L39)</f>
      </c>
      <c r="M40" s="477">
        <f>SUM(M8:M39)</f>
      </c>
      <c r="N40" s="439"/>
      <c r="O40" s="476">
        <f>SUM(O8:O39)</f>
      </c>
      <c r="P40" s="476">
        <f>SUM(P8:P39)</f>
      </c>
      <c r="Q40" s="476">
        <f>SUM(Q8:Q39)</f>
      </c>
      <c r="R40" s="476">
        <f>SUM(R8:R39)</f>
      </c>
      <c r="S40" s="441"/>
      <c r="T40" s="478">
        <f>SUM(C40:R40)-M40-P40+T7</f>
      </c>
      <c r="U40" s="430"/>
      <c r="V40" s="430"/>
    </row>
    <row x14ac:dyDescent="0.25" r="41" customHeight="1" ht="18.75">
      <c r="A41" s="275"/>
      <c r="B41" s="469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439"/>
      <c r="O41" s="430"/>
      <c r="P41" s="430"/>
      <c r="Q41" s="430"/>
      <c r="R41" s="430"/>
      <c r="S41" s="439"/>
      <c r="T41" s="430"/>
      <c r="U41" s="430"/>
      <c r="V41" s="430"/>
    </row>
    <row x14ac:dyDescent="0.25" r="42" customHeight="1" ht="18.75">
      <c r="A42" s="475"/>
      <c r="B42" s="469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430">
        <f>C40+D40+J40+K40+M40</f>
      </c>
      <c r="N42" s="439"/>
      <c r="O42" s="479">
        <f>+O40-P40</f>
      </c>
      <c r="P42" s="430"/>
      <c r="Q42" s="479">
        <f>+P40+Q40</f>
      </c>
      <c r="R42" s="430">
        <f>O40+Q40+R40</f>
      </c>
      <c r="S42" s="439"/>
      <c r="T42" s="430"/>
      <c r="U42" s="430"/>
      <c r="V42" s="430"/>
    </row>
    <row x14ac:dyDescent="0.25" r="43" customHeight="1" ht="18.75">
      <c r="A43" s="475"/>
      <c r="B43" s="469"/>
      <c r="C43" s="73"/>
      <c r="D43" s="73"/>
      <c r="E43" s="480" t="s">
        <v>224</v>
      </c>
      <c r="F43" s="73"/>
      <c r="G43" s="73"/>
      <c r="H43" s="73"/>
      <c r="I43" s="73"/>
      <c r="J43" s="73"/>
      <c r="K43" s="73"/>
      <c r="L43" s="73"/>
      <c r="M43" s="73"/>
      <c r="N43" s="439"/>
      <c r="O43" s="441" t="s">
        <v>225</v>
      </c>
      <c r="P43" s="430"/>
      <c r="Q43" s="441" t="s">
        <v>226</v>
      </c>
      <c r="R43" s="430"/>
      <c r="S43" s="439"/>
      <c r="T43" s="430"/>
      <c r="U43" s="430"/>
      <c r="V43" s="430"/>
    </row>
    <row x14ac:dyDescent="0.25" r="44" customHeight="1" ht="18.75">
      <c r="A44" s="275"/>
      <c r="B44" s="469"/>
      <c r="C44" s="73"/>
      <c r="D44" s="73"/>
      <c r="E44" s="480" t="s">
        <v>227</v>
      </c>
      <c r="F44" s="73"/>
      <c r="G44" s="73"/>
      <c r="H44" s="73"/>
      <c r="I44" s="73"/>
      <c r="J44" s="73"/>
      <c r="K44" s="73"/>
      <c r="L44" s="73"/>
      <c r="M44" s="73"/>
      <c r="N44" s="439"/>
      <c r="O44" s="481"/>
      <c r="P44" s="430"/>
      <c r="Q44" s="430"/>
      <c r="R44" s="430"/>
      <c r="S44" s="439"/>
      <c r="T44" s="430"/>
      <c r="U44" s="430"/>
      <c r="V44" s="430"/>
    </row>
    <row x14ac:dyDescent="0.25" r="45" customHeight="1" ht="18.75">
      <c r="A45" s="275"/>
      <c r="B45" s="469"/>
      <c r="C45" s="73"/>
      <c r="D45" s="73"/>
      <c r="E45" s="480" t="s">
        <v>228</v>
      </c>
      <c r="F45" s="73"/>
      <c r="G45" s="73"/>
      <c r="H45" s="73"/>
      <c r="I45" s="73"/>
      <c r="J45" s="482"/>
      <c r="K45" s="73"/>
      <c r="L45" s="73"/>
      <c r="M45" s="73"/>
      <c r="N45" s="439"/>
      <c r="O45" s="483"/>
      <c r="P45" s="430"/>
      <c r="Q45" s="430"/>
      <c r="R45" s="73"/>
      <c r="S45" s="5"/>
      <c r="T45" s="73"/>
      <c r="U45" s="430"/>
      <c r="V45" s="430"/>
    </row>
    <row x14ac:dyDescent="0.25" r="46" customHeight="1" ht="18.75">
      <c r="A46" s="475"/>
      <c r="B46" s="469"/>
      <c r="C46" s="484"/>
      <c r="D46" s="73"/>
      <c r="E46" s="480" t="s">
        <v>229</v>
      </c>
      <c r="F46" s="73"/>
      <c r="G46" s="73"/>
      <c r="H46" s="73"/>
      <c r="I46" s="73"/>
      <c r="J46" s="73"/>
      <c r="K46" s="73"/>
      <c r="L46" s="73"/>
      <c r="M46" s="73"/>
      <c r="N46" s="439"/>
      <c r="O46" s="430"/>
      <c r="P46" s="430"/>
      <c r="Q46" s="430"/>
      <c r="R46" s="73"/>
      <c r="S46" s="5"/>
      <c r="T46" s="73"/>
      <c r="U46" s="430"/>
      <c r="V46" s="430"/>
    </row>
    <row x14ac:dyDescent="0.25" r="47" customHeight="1" ht="18.75">
      <c r="A47" s="475"/>
      <c r="B47" s="469"/>
      <c r="C47" s="484"/>
      <c r="D47" s="73"/>
      <c r="E47" s="480" t="s">
        <v>230</v>
      </c>
      <c r="F47" s="73"/>
      <c r="G47" s="73"/>
      <c r="H47" s="73"/>
      <c r="I47" s="73"/>
      <c r="J47" s="73"/>
      <c r="K47" s="73"/>
      <c r="L47" s="73"/>
      <c r="M47" s="73"/>
      <c r="N47" s="439"/>
      <c r="O47" s="430"/>
      <c r="P47" s="430"/>
      <c r="Q47" s="430"/>
      <c r="R47" s="73"/>
      <c r="S47" s="5"/>
      <c r="T47" s="73"/>
      <c r="U47" s="430"/>
      <c r="V47" s="430"/>
    </row>
    <row x14ac:dyDescent="0.25" r="48" customHeight="1" ht="18.75">
      <c r="A48" s="475"/>
      <c r="B48" s="469"/>
      <c r="C48" s="484"/>
      <c r="D48" s="73"/>
      <c r="E48" s="480" t="s">
        <v>231</v>
      </c>
      <c r="F48" s="73"/>
      <c r="G48" s="73"/>
      <c r="H48" s="73"/>
      <c r="I48" s="73"/>
      <c r="J48" s="73"/>
      <c r="K48" s="73"/>
      <c r="L48" s="73"/>
      <c r="M48" s="73"/>
      <c r="N48" s="439"/>
      <c r="O48" s="430"/>
      <c r="P48" s="430"/>
      <c r="Q48" s="430"/>
      <c r="R48" s="73"/>
      <c r="S48" s="5"/>
      <c r="T48" s="73"/>
      <c r="U48" s="430"/>
      <c r="V48" s="430"/>
    </row>
    <row x14ac:dyDescent="0.25" r="49" customHeight="1" ht="18.75">
      <c r="A49" s="475"/>
      <c r="B49" s="469"/>
      <c r="C49" s="484"/>
      <c r="D49" s="73"/>
      <c r="E49" s="480" t="s">
        <v>232</v>
      </c>
      <c r="F49" s="73"/>
      <c r="G49" s="73"/>
      <c r="H49" s="73"/>
      <c r="I49" s="73"/>
      <c r="J49" s="73"/>
      <c r="K49" s="73"/>
      <c r="L49" s="73"/>
      <c r="M49" s="73"/>
      <c r="N49" s="439"/>
      <c r="O49" s="430"/>
      <c r="P49" s="430"/>
      <c r="Q49" s="430"/>
      <c r="R49" s="73"/>
      <c r="S49" s="5"/>
      <c r="T49" s="73"/>
      <c r="U49" s="430"/>
      <c r="V49" s="430"/>
    </row>
    <row x14ac:dyDescent="0.25" r="50" customHeight="1" ht="18.75">
      <c r="A50" s="475"/>
      <c r="B50" s="469"/>
      <c r="C50" s="484"/>
      <c r="D50" s="73"/>
      <c r="E50" s="73"/>
      <c r="F50" s="73"/>
      <c r="G50" s="73"/>
      <c r="H50" s="73"/>
      <c r="I50" s="73"/>
      <c r="J50" s="482"/>
      <c r="K50" s="73"/>
      <c r="L50" s="73"/>
      <c r="M50" s="73"/>
      <c r="N50" s="439"/>
      <c r="O50" s="430"/>
      <c r="P50" s="430"/>
      <c r="Q50" s="430"/>
      <c r="R50" s="73"/>
      <c r="S50" s="5"/>
      <c r="T50" s="73"/>
      <c r="U50" s="430"/>
      <c r="V50" s="430"/>
    </row>
    <row x14ac:dyDescent="0.25" r="51" customHeight="1" ht="18.75">
      <c r="A51" s="475"/>
      <c r="B51" s="469"/>
      <c r="C51" s="484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439"/>
      <c r="O51" s="430"/>
      <c r="P51" s="430"/>
      <c r="Q51" s="430"/>
      <c r="R51" s="73"/>
      <c r="S51" s="5"/>
      <c r="T51" s="73"/>
      <c r="U51" s="430"/>
      <c r="V51" s="430"/>
    </row>
    <row x14ac:dyDescent="0.25" r="52" customHeight="1" ht="18.75">
      <c r="A52" s="275"/>
      <c r="B52" s="469"/>
      <c r="C52" s="484"/>
      <c r="D52" s="73"/>
      <c r="E52" s="73"/>
      <c r="F52" s="73"/>
      <c r="G52" s="73"/>
      <c r="H52" s="73"/>
      <c r="I52" s="73"/>
      <c r="J52" s="430"/>
      <c r="K52" s="73"/>
      <c r="L52" s="73"/>
      <c r="M52" s="73"/>
      <c r="N52" s="439"/>
      <c r="O52" s="430"/>
      <c r="P52" s="430"/>
      <c r="Q52" s="430"/>
      <c r="R52" s="73"/>
      <c r="S52" s="5"/>
      <c r="T52" s="73"/>
      <c r="U52" s="430"/>
      <c r="V52" s="430"/>
    </row>
    <row x14ac:dyDescent="0.25" r="53" customHeight="1" ht="18.75">
      <c r="A53" s="275"/>
      <c r="B53" s="469"/>
      <c r="C53" s="48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439"/>
      <c r="O53" s="430"/>
      <c r="P53" s="430"/>
      <c r="Q53" s="430"/>
      <c r="R53" s="73"/>
      <c r="S53" s="5"/>
      <c r="T53" s="73"/>
      <c r="U53" s="430"/>
      <c r="V53" s="430"/>
    </row>
    <row x14ac:dyDescent="0.25" r="54" customHeight="1" ht="18.75">
      <c r="A54" s="275"/>
      <c r="B54" s="469"/>
      <c r="C54" s="48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439"/>
      <c r="O54" s="430"/>
      <c r="P54" s="430"/>
      <c r="Q54" s="430"/>
      <c r="R54" s="73"/>
      <c r="S54" s="5"/>
      <c r="T54" s="73"/>
      <c r="U54" s="430"/>
      <c r="V54" s="430"/>
    </row>
    <row x14ac:dyDescent="0.25" r="55" customHeight="1" ht="18.75">
      <c r="A55" s="275"/>
      <c r="B55" s="469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439"/>
      <c r="O55" s="430"/>
      <c r="P55" s="430"/>
      <c r="Q55" s="430"/>
      <c r="R55" s="73"/>
      <c r="S55" s="5"/>
      <c r="T55" s="73"/>
      <c r="U55" s="430"/>
      <c r="V55" s="430"/>
    </row>
    <row x14ac:dyDescent="0.25" r="56" customHeight="1" ht="18.75">
      <c r="A56" s="275"/>
      <c r="B56" s="469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439"/>
      <c r="O56" s="430"/>
      <c r="P56" s="430"/>
      <c r="Q56" s="430"/>
      <c r="R56" s="430"/>
      <c r="S56" s="439"/>
      <c r="T56" s="430"/>
      <c r="U56" s="430"/>
      <c r="V56" s="430"/>
    </row>
    <row x14ac:dyDescent="0.25" r="57" customHeight="1" ht="18.75">
      <c r="A57" s="275"/>
      <c r="B57" s="469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439"/>
      <c r="O57" s="430"/>
      <c r="P57" s="430"/>
      <c r="Q57" s="430"/>
      <c r="R57" s="430"/>
      <c r="S57" s="439"/>
      <c r="T57" s="430"/>
      <c r="U57" s="430"/>
      <c r="V57" s="430"/>
    </row>
    <row x14ac:dyDescent="0.25" r="58" customHeight="1" ht="18.75">
      <c r="A58" s="275"/>
      <c r="B58" s="469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439"/>
      <c r="O58" s="430"/>
      <c r="P58" s="430"/>
      <c r="Q58" s="430"/>
      <c r="R58" s="430"/>
      <c r="S58" s="439"/>
      <c r="T58" s="430"/>
      <c r="U58" s="430"/>
      <c r="V58" s="430"/>
    </row>
    <row x14ac:dyDescent="0.25" r="59" customHeight="1" ht="18.75">
      <c r="A59" s="275"/>
      <c r="B59" s="469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439"/>
      <c r="O59" s="430"/>
      <c r="P59" s="430"/>
      <c r="Q59" s="430"/>
      <c r="R59" s="430"/>
      <c r="S59" s="439"/>
      <c r="T59" s="430"/>
      <c r="U59" s="430"/>
      <c r="V59" s="430"/>
    </row>
    <row x14ac:dyDescent="0.25" r="60" customHeight="1" ht="18.75">
      <c r="A60" s="275"/>
      <c r="B60" s="469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439"/>
      <c r="O60" s="430"/>
      <c r="P60" s="430"/>
      <c r="Q60" s="430"/>
      <c r="R60" s="430"/>
      <c r="S60" s="439"/>
      <c r="T60" s="430"/>
      <c r="U60" s="430"/>
      <c r="V60" s="430"/>
    </row>
    <row x14ac:dyDescent="0.25" r="61" customHeight="1" ht="18.75">
      <c r="A61" s="275"/>
      <c r="B61" s="469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439"/>
      <c r="O61" s="430"/>
      <c r="P61" s="430"/>
      <c r="Q61" s="430"/>
      <c r="R61" s="430"/>
      <c r="S61" s="439"/>
      <c r="T61" s="430"/>
      <c r="U61" s="430"/>
      <c r="V61" s="430"/>
    </row>
    <row x14ac:dyDescent="0.25" r="62" customHeight="1" ht="18.75">
      <c r="A62" s="275"/>
      <c r="B62" s="469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439"/>
      <c r="O62" s="430"/>
      <c r="P62" s="430"/>
      <c r="Q62" s="430"/>
      <c r="R62" s="430"/>
      <c r="S62" s="439"/>
      <c r="T62" s="430"/>
      <c r="U62" s="430"/>
      <c r="V62" s="430"/>
    </row>
    <row x14ac:dyDescent="0.25" r="63" customHeight="1" ht="18.75">
      <c r="A63" s="275"/>
      <c r="B63" s="469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439"/>
      <c r="O63" s="430"/>
      <c r="P63" s="430"/>
      <c r="Q63" s="430"/>
      <c r="R63" s="430"/>
      <c r="S63" s="439"/>
      <c r="T63" s="430"/>
      <c r="U63" s="430"/>
      <c r="V63" s="430"/>
    </row>
    <row x14ac:dyDescent="0.25" r="64" customHeight="1" ht="18.75">
      <c r="A64" s="275"/>
      <c r="B64" s="469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439"/>
      <c r="O64" s="430"/>
      <c r="P64" s="430"/>
      <c r="Q64" s="430"/>
      <c r="R64" s="430"/>
      <c r="S64" s="439"/>
      <c r="T64" s="430"/>
      <c r="U64" s="430"/>
      <c r="V64" s="430"/>
    </row>
    <row x14ac:dyDescent="0.25" r="65" customHeight="1" ht="18.75">
      <c r="A65" s="275"/>
      <c r="B65" s="469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439"/>
      <c r="O65" s="430"/>
      <c r="P65" s="430"/>
      <c r="Q65" s="430"/>
      <c r="R65" s="430"/>
      <c r="S65" s="439"/>
      <c r="T65" s="430"/>
      <c r="U65" s="430"/>
      <c r="V65" s="430"/>
    </row>
    <row x14ac:dyDescent="0.25" r="66" customHeight="1" ht="18.75">
      <c r="A66" s="275"/>
      <c r="B66" s="469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439"/>
      <c r="O66" s="430"/>
      <c r="P66" s="430"/>
      <c r="Q66" s="430"/>
      <c r="R66" s="430"/>
      <c r="S66" s="439"/>
      <c r="T66" s="430"/>
      <c r="U66" s="430"/>
      <c r="V66" s="430"/>
    </row>
    <row x14ac:dyDescent="0.25" r="67" customHeight="1" ht="18.75">
      <c r="A67" s="275"/>
      <c r="B67" s="469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439"/>
      <c r="O67" s="430"/>
      <c r="P67" s="430"/>
      <c r="Q67" s="430"/>
      <c r="R67" s="430"/>
      <c r="S67" s="439"/>
      <c r="T67" s="430"/>
      <c r="U67" s="430"/>
      <c r="V67" s="430"/>
    </row>
    <row x14ac:dyDescent="0.25" r="68" customHeight="1" ht="18.75">
      <c r="A68" s="275"/>
      <c r="B68" s="469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439"/>
      <c r="O68" s="430"/>
      <c r="P68" s="430"/>
      <c r="Q68" s="430"/>
      <c r="R68" s="430"/>
      <c r="S68" s="439"/>
      <c r="T68" s="430"/>
      <c r="U68" s="430"/>
      <c r="V68" s="430"/>
    </row>
    <row x14ac:dyDescent="0.25" r="69" customHeight="1" ht="18.75">
      <c r="A69" s="275"/>
      <c r="B69" s="469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439"/>
      <c r="O69" s="430"/>
      <c r="P69" s="430"/>
      <c r="Q69" s="430"/>
      <c r="R69" s="430"/>
      <c r="S69" s="439"/>
      <c r="T69" s="430"/>
      <c r="U69" s="430"/>
      <c r="V69" s="430"/>
    </row>
    <row x14ac:dyDescent="0.25" r="70" customHeight="1" ht="18.75">
      <c r="A70" s="275"/>
      <c r="B70" s="469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439"/>
      <c r="O70" s="430"/>
      <c r="P70" s="430"/>
      <c r="Q70" s="430"/>
      <c r="R70" s="430"/>
      <c r="S70" s="439"/>
      <c r="T70" s="430"/>
      <c r="U70" s="430"/>
      <c r="V70" s="430"/>
    </row>
    <row x14ac:dyDescent="0.25" r="71" customHeight="1" ht="18.75">
      <c r="A71" s="275"/>
      <c r="B71" s="469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439"/>
      <c r="O71" s="430"/>
      <c r="P71" s="430"/>
      <c r="Q71" s="430"/>
      <c r="R71" s="430"/>
      <c r="S71" s="439"/>
      <c r="T71" s="430"/>
      <c r="U71" s="430"/>
      <c r="V71" s="430"/>
    </row>
    <row x14ac:dyDescent="0.25" r="72" customHeight="1" ht="18.75">
      <c r="A72" s="275"/>
      <c r="B72" s="469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439"/>
      <c r="O72" s="430"/>
      <c r="P72" s="430"/>
      <c r="Q72" s="430"/>
      <c r="R72" s="430"/>
      <c r="S72" s="439"/>
      <c r="T72" s="430"/>
      <c r="U72" s="430"/>
      <c r="V72" s="430"/>
    </row>
    <row x14ac:dyDescent="0.25" r="73" customHeight="1" ht="18.75">
      <c r="A73" s="275"/>
      <c r="B73" s="469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439"/>
      <c r="O73" s="430"/>
      <c r="P73" s="430"/>
      <c r="Q73" s="430"/>
      <c r="R73" s="430"/>
      <c r="S73" s="439"/>
      <c r="T73" s="430"/>
      <c r="U73" s="430"/>
      <c r="V73" s="430"/>
    </row>
    <row x14ac:dyDescent="0.25" r="74" customHeight="1" ht="18.75">
      <c r="A74" s="275"/>
      <c r="B74" s="469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439"/>
      <c r="O74" s="430"/>
      <c r="P74" s="430"/>
      <c r="Q74" s="430"/>
      <c r="R74" s="430"/>
      <c r="S74" s="439"/>
      <c r="T74" s="430"/>
      <c r="U74" s="430"/>
      <c r="V74" s="430"/>
    </row>
    <row x14ac:dyDescent="0.25" r="75" customHeight="1" ht="18.75">
      <c r="A75" s="275"/>
      <c r="B75" s="469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439"/>
      <c r="O75" s="430"/>
      <c r="P75" s="430"/>
      <c r="Q75" s="430"/>
      <c r="R75" s="430"/>
      <c r="S75" s="439"/>
      <c r="T75" s="430"/>
      <c r="U75" s="430"/>
      <c r="V75" s="430"/>
    </row>
    <row x14ac:dyDescent="0.25" r="76" customHeight="1" ht="18.75">
      <c r="A76" s="275"/>
      <c r="B76" s="469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439"/>
      <c r="O76" s="430"/>
      <c r="P76" s="430"/>
      <c r="Q76" s="430"/>
      <c r="R76" s="430"/>
      <c r="S76" s="439"/>
      <c r="T76" s="430"/>
      <c r="U76" s="430"/>
      <c r="V76" s="430"/>
    </row>
    <row x14ac:dyDescent="0.25" r="77" customHeight="1" ht="18.75">
      <c r="A77" s="275"/>
      <c r="B77" s="469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439"/>
      <c r="O77" s="430"/>
      <c r="P77" s="430"/>
      <c r="Q77" s="430"/>
      <c r="R77" s="430"/>
      <c r="S77" s="439"/>
      <c r="T77" s="430"/>
      <c r="U77" s="430"/>
      <c r="V77" s="430"/>
    </row>
    <row x14ac:dyDescent="0.25" r="78" customHeight="1" ht="18.75">
      <c r="A78" s="275"/>
      <c r="B78" s="469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439"/>
      <c r="O78" s="430"/>
      <c r="P78" s="430"/>
      <c r="Q78" s="430"/>
      <c r="R78" s="430"/>
      <c r="S78" s="439"/>
      <c r="T78" s="430"/>
      <c r="U78" s="430"/>
      <c r="V78" s="430"/>
    </row>
    <row x14ac:dyDescent="0.25" r="79" customHeight="1" ht="18.75">
      <c r="A79" s="275"/>
      <c r="B79" s="469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439"/>
      <c r="O79" s="430"/>
      <c r="P79" s="430"/>
      <c r="Q79" s="430"/>
      <c r="R79" s="430"/>
      <c r="S79" s="439"/>
      <c r="T79" s="430"/>
      <c r="U79" s="430"/>
      <c r="V79" s="430"/>
    </row>
    <row x14ac:dyDescent="0.25" r="80" customHeight="1" ht="18.75">
      <c r="A80" s="275"/>
      <c r="B80" s="469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439"/>
      <c r="O80" s="430"/>
      <c r="P80" s="430"/>
      <c r="Q80" s="430"/>
      <c r="R80" s="430"/>
      <c r="S80" s="439"/>
      <c r="T80" s="430"/>
      <c r="U80" s="430"/>
      <c r="V80" s="430"/>
    </row>
    <row x14ac:dyDescent="0.25" r="81" customHeight="1" ht="18.75">
      <c r="A81" s="275"/>
      <c r="B81" s="469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439"/>
      <c r="O81" s="430"/>
      <c r="P81" s="430"/>
      <c r="Q81" s="430"/>
      <c r="R81" s="430"/>
      <c r="S81" s="439"/>
      <c r="T81" s="430"/>
      <c r="U81" s="430"/>
      <c r="V81" s="430"/>
    </row>
    <row x14ac:dyDescent="0.25" r="82" customHeight="1" ht="18.75">
      <c r="A82" s="275"/>
      <c r="B82" s="469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439"/>
      <c r="O82" s="430"/>
      <c r="P82" s="430"/>
      <c r="Q82" s="430"/>
      <c r="R82" s="430"/>
      <c r="S82" s="439"/>
      <c r="T82" s="430"/>
      <c r="U82" s="430"/>
      <c r="V82" s="430"/>
    </row>
    <row x14ac:dyDescent="0.25" r="83" customHeight="1" ht="18.75">
      <c r="A83" s="275"/>
      <c r="B83" s="469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439"/>
      <c r="O83" s="430"/>
      <c r="P83" s="430"/>
      <c r="Q83" s="430"/>
      <c r="R83" s="430"/>
      <c r="S83" s="439"/>
      <c r="T83" s="430"/>
      <c r="U83" s="430"/>
      <c r="V83" s="430"/>
    </row>
    <row x14ac:dyDescent="0.25" r="84" customHeight="1" ht="18.75">
      <c r="A84" s="275"/>
      <c r="B84" s="469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439"/>
      <c r="O84" s="430"/>
      <c r="P84" s="430"/>
      <c r="Q84" s="430"/>
      <c r="R84" s="430"/>
      <c r="S84" s="439"/>
      <c r="T84" s="430"/>
      <c r="U84" s="430"/>
      <c r="V84" s="430"/>
    </row>
    <row x14ac:dyDescent="0.25" r="85" customHeight="1" ht="18.75">
      <c r="A85" s="275"/>
      <c r="B85" s="469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439"/>
      <c r="O85" s="430"/>
      <c r="P85" s="430"/>
      <c r="Q85" s="430"/>
      <c r="R85" s="430"/>
      <c r="S85" s="439"/>
      <c r="T85" s="430"/>
      <c r="U85" s="430"/>
      <c r="V85" s="430"/>
    </row>
    <row x14ac:dyDescent="0.25" r="86" customHeight="1" ht="18.75">
      <c r="A86" s="275"/>
      <c r="B86" s="469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439"/>
      <c r="O86" s="430"/>
      <c r="P86" s="430"/>
      <c r="Q86" s="430"/>
      <c r="R86" s="430"/>
      <c r="S86" s="439"/>
      <c r="T86" s="430"/>
      <c r="U86" s="430"/>
      <c r="V86" s="430"/>
    </row>
    <row x14ac:dyDescent="0.25" r="87" customHeight="1" ht="18.75">
      <c r="A87" s="275"/>
      <c r="B87" s="469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439"/>
      <c r="O87" s="430"/>
      <c r="P87" s="430"/>
      <c r="Q87" s="430"/>
      <c r="R87" s="430"/>
      <c r="S87" s="439"/>
      <c r="T87" s="430"/>
      <c r="U87" s="430"/>
      <c r="V87" s="430"/>
    </row>
    <row x14ac:dyDescent="0.25" r="88" customHeight="1" ht="18.75">
      <c r="A88" s="275"/>
      <c r="B88" s="469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439"/>
      <c r="O88" s="430"/>
      <c r="P88" s="430"/>
      <c r="Q88" s="430"/>
      <c r="R88" s="430"/>
      <c r="S88" s="439"/>
      <c r="T88" s="430"/>
      <c r="U88" s="430"/>
      <c r="V88" s="430"/>
    </row>
    <row x14ac:dyDescent="0.25" r="89" customHeight="1" ht="18.75">
      <c r="A89" s="275"/>
      <c r="B89" s="469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439"/>
      <c r="O89" s="430"/>
      <c r="P89" s="430"/>
      <c r="Q89" s="430"/>
      <c r="R89" s="430"/>
      <c r="S89" s="439"/>
      <c r="T89" s="430"/>
      <c r="U89" s="430"/>
      <c r="V89" s="430"/>
    </row>
    <row x14ac:dyDescent="0.25" r="90" customHeight="1" ht="18.75">
      <c r="A90" s="275"/>
      <c r="B90" s="469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439"/>
      <c r="O90" s="430"/>
      <c r="P90" s="430"/>
      <c r="Q90" s="430"/>
      <c r="R90" s="430"/>
      <c r="S90" s="439"/>
      <c r="T90" s="430"/>
      <c r="U90" s="430"/>
      <c r="V90" s="430"/>
    </row>
    <row x14ac:dyDescent="0.25" r="91" customHeight="1" ht="18.75">
      <c r="A91" s="275"/>
      <c r="B91" s="469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439"/>
      <c r="O91" s="430"/>
      <c r="P91" s="430"/>
      <c r="Q91" s="430"/>
      <c r="R91" s="430"/>
      <c r="S91" s="439"/>
      <c r="T91" s="430"/>
      <c r="U91" s="430"/>
      <c r="V91" s="430"/>
    </row>
    <row x14ac:dyDescent="0.25" r="92" customHeight="1" ht="18.75">
      <c r="A92" s="275"/>
      <c r="B92" s="469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439"/>
      <c r="O92" s="430"/>
      <c r="P92" s="430"/>
      <c r="Q92" s="430"/>
      <c r="R92" s="430"/>
      <c r="S92" s="439"/>
      <c r="T92" s="430"/>
      <c r="U92" s="430"/>
      <c r="V92" s="430"/>
    </row>
    <row x14ac:dyDescent="0.25" r="93" customHeight="1" ht="18.75">
      <c r="A93" s="275"/>
      <c r="B93" s="469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439"/>
      <c r="O93" s="430"/>
      <c r="P93" s="430"/>
      <c r="Q93" s="430"/>
      <c r="R93" s="430"/>
      <c r="S93" s="439"/>
      <c r="T93" s="430"/>
      <c r="U93" s="430"/>
      <c r="V93" s="430"/>
    </row>
    <row x14ac:dyDescent="0.25" r="94" customHeight="1" ht="18.75">
      <c r="A94" s="275"/>
      <c r="B94" s="469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439"/>
      <c r="O94" s="430"/>
      <c r="P94" s="430"/>
      <c r="Q94" s="430"/>
      <c r="R94" s="430"/>
      <c r="S94" s="439"/>
      <c r="T94" s="430"/>
      <c r="U94" s="430"/>
      <c r="V94" s="430"/>
    </row>
    <row x14ac:dyDescent="0.25" r="95" customHeight="1" ht="18.75">
      <c r="A95" s="275"/>
      <c r="B95" s="469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439"/>
      <c r="O95" s="430"/>
      <c r="P95" s="430"/>
      <c r="Q95" s="430"/>
      <c r="R95" s="430"/>
      <c r="S95" s="439"/>
      <c r="T95" s="430"/>
      <c r="U95" s="430"/>
      <c r="V95" s="430"/>
    </row>
    <row x14ac:dyDescent="0.25" r="96" customHeight="1" ht="18.75">
      <c r="A96" s="275"/>
      <c r="B96" s="469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439"/>
      <c r="O96" s="430"/>
      <c r="P96" s="430"/>
      <c r="Q96" s="430"/>
      <c r="R96" s="430"/>
      <c r="S96" s="439"/>
      <c r="T96" s="430"/>
      <c r="U96" s="430"/>
      <c r="V96" s="430"/>
    </row>
    <row x14ac:dyDescent="0.25" r="97" customHeight="1" ht="18.75">
      <c r="A97" s="275"/>
      <c r="B97" s="469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439"/>
      <c r="O97" s="430"/>
      <c r="P97" s="430"/>
      <c r="Q97" s="430"/>
      <c r="R97" s="430"/>
      <c r="S97" s="439"/>
      <c r="T97" s="430"/>
      <c r="U97" s="430"/>
      <c r="V97" s="430"/>
    </row>
    <row x14ac:dyDescent="0.25" r="98" customHeight="1" ht="18.75">
      <c r="A98" s="275"/>
      <c r="B98" s="469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439"/>
      <c r="O98" s="430"/>
      <c r="P98" s="430"/>
      <c r="Q98" s="430"/>
      <c r="R98" s="430"/>
      <c r="S98" s="439"/>
      <c r="T98" s="430"/>
      <c r="U98" s="430"/>
      <c r="V98" s="430"/>
    </row>
    <row x14ac:dyDescent="0.25" r="99" customHeight="1" ht="18.75">
      <c r="A99" s="275"/>
      <c r="B99" s="469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439"/>
      <c r="O99" s="430"/>
      <c r="P99" s="430"/>
      <c r="Q99" s="430"/>
      <c r="R99" s="430"/>
      <c r="S99" s="439"/>
      <c r="T99" s="430"/>
      <c r="U99" s="430"/>
      <c r="V99" s="430"/>
    </row>
    <row x14ac:dyDescent="0.25" r="100" customHeight="1" ht="18.75">
      <c r="A100" s="275"/>
      <c r="B100" s="469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439"/>
      <c r="O100" s="430"/>
      <c r="P100" s="430"/>
      <c r="Q100" s="430"/>
      <c r="R100" s="430"/>
      <c r="S100" s="439"/>
      <c r="T100" s="430"/>
      <c r="U100" s="430"/>
      <c r="V100" s="430"/>
    </row>
    <row x14ac:dyDescent="0.25" r="101" customHeight="1" ht="18.75">
      <c r="A101" s="275"/>
      <c r="B101" s="469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439"/>
      <c r="O101" s="430"/>
      <c r="P101" s="430"/>
      <c r="Q101" s="430"/>
      <c r="R101" s="430"/>
      <c r="S101" s="439"/>
      <c r="T101" s="430"/>
      <c r="U101" s="430"/>
      <c r="V101" s="430"/>
    </row>
    <row x14ac:dyDescent="0.25" r="102" customHeight="1" ht="18.75">
      <c r="A102" s="275"/>
      <c r="B102" s="5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5"/>
      <c r="O102" s="73"/>
      <c r="P102" s="73"/>
      <c r="Q102" s="73"/>
      <c r="R102" s="73"/>
      <c r="S102" s="5"/>
      <c r="T102" s="73"/>
      <c r="U102" s="430"/>
      <c r="V102" s="430"/>
    </row>
    <row x14ac:dyDescent="0.25" r="103" customHeight="1" ht="18.75">
      <c r="A103" s="275"/>
      <c r="B103" s="5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5"/>
      <c r="O103" s="73"/>
      <c r="P103" s="73"/>
      <c r="Q103" s="73"/>
      <c r="R103" s="73"/>
      <c r="S103" s="5"/>
      <c r="T103" s="73"/>
      <c r="U103" s="430"/>
      <c r="V103" s="430"/>
    </row>
  </sheetData>
  <mergeCells count="2">
    <mergeCell ref="C4:M4"/>
    <mergeCell ref="O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60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67" width="10.43357142857143" customWidth="1" bestFit="1"/>
    <col min="2" max="2" style="88" width="33.86214285714286" customWidth="1" bestFit="1"/>
    <col min="3" max="3" style="90" width="10.005" customWidth="1" bestFit="1"/>
    <col min="4" max="4" style="301" width="10.005" customWidth="1" bestFit="1"/>
    <col min="5" max="5" style="90" width="10.005" customWidth="1" bestFit="1"/>
    <col min="6" max="6" style="301" width="10.005" customWidth="1" bestFit="1"/>
    <col min="7" max="7" style="301" width="10.005" customWidth="1" bestFit="1"/>
    <col min="8" max="8" style="301" width="10.005" customWidth="1" bestFit="1"/>
    <col min="9" max="9" style="301" width="10.005" customWidth="1" bestFit="1"/>
    <col min="10" max="10" style="301" width="10.005" customWidth="1" bestFit="1"/>
    <col min="11" max="11" style="90" width="10.005" customWidth="1" bestFit="1"/>
    <col min="12" max="12" style="90" width="10.005" customWidth="1" bestFit="1"/>
    <col min="13" max="13" style="90" width="10.005" customWidth="1" bestFit="1"/>
    <col min="14" max="14" style="301" width="10.005" customWidth="1" bestFit="1"/>
    <col min="15" max="15" style="90" width="10.005" customWidth="1" bestFit="1"/>
    <col min="16" max="16" style="301" width="10.005" customWidth="1" bestFit="1"/>
    <col min="17" max="17" style="301" width="10.005" customWidth="1" bestFit="1"/>
    <col min="18" max="18" style="301" width="10.005" customWidth="1" bestFit="1"/>
    <col min="19" max="19" style="90" width="10.005" customWidth="1" bestFit="1"/>
    <col min="20" max="20" style="90" width="10.005" customWidth="1" bestFit="1"/>
    <col min="21" max="21" style="90" width="10.005" customWidth="1" bestFit="1"/>
    <col min="22" max="22" style="301" width="10.005" customWidth="1" bestFit="1"/>
    <col min="23" max="23" style="301" width="10.005" customWidth="1" bestFit="1"/>
    <col min="24" max="24" style="301" width="10.005" customWidth="1" bestFit="1"/>
    <col min="25" max="25" style="301" width="10.005" customWidth="1" bestFit="1"/>
    <col min="26" max="26" style="301" width="10.005" customWidth="1" bestFit="1"/>
    <col min="27" max="27" style="301" width="10.005" customWidth="1" bestFit="1"/>
    <col min="28" max="28" style="301" width="10.005" customWidth="1" bestFit="1"/>
    <col min="29" max="29" style="301" width="10.005" customWidth="1" bestFit="1"/>
    <col min="30" max="30" style="301" width="10.576428571428572" customWidth="1" bestFit="1"/>
    <col min="31" max="31" style="301" width="10.005" customWidth="1" bestFit="1"/>
    <col min="32" max="32" style="301" width="10.005" customWidth="1" bestFit="1"/>
    <col min="33" max="33" style="301" width="10.005" customWidth="1" bestFit="1"/>
    <col min="34" max="34" style="426" width="12.719285714285713" customWidth="1" bestFit="1"/>
    <col min="35" max="35" style="67" width="3.005" customWidth="1" bestFit="1"/>
    <col min="36" max="36" style="426" width="10.43357142857143" customWidth="1" bestFit="1"/>
    <col min="37" max="37" style="67" width="33.86214285714286" customWidth="1" bestFit="1"/>
    <col min="38" max="38" style="239" width="11.576428571428572" customWidth="1" bestFit="1"/>
    <col min="39" max="39" style="239" width="12.862142857142858" customWidth="1" bestFit="1"/>
    <col min="40" max="40" style="301" width="20.290714285714284" customWidth="1" bestFit="1"/>
  </cols>
  <sheetData>
    <row x14ac:dyDescent="0.25" r="1" customHeight="1" ht="18.75">
      <c r="A1" s="91" t="s">
        <v>166</v>
      </c>
      <c r="B1" s="302">
        <f>'Cash Flow'!C1</f>
      </c>
      <c r="C1" s="303">
        <f>TRANSPOSE('Cash Flow'!B8:B38)</f>
      </c>
      <c r="D1" s="92" t="s">
        <v>119</v>
      </c>
      <c r="E1" s="303" t="s">
        <v>120</v>
      </c>
      <c r="F1" s="92" t="s">
        <v>121</v>
      </c>
      <c r="G1" s="92" t="s">
        <v>122</v>
      </c>
      <c r="H1" s="92" t="s">
        <v>123</v>
      </c>
      <c r="I1" s="92" t="s">
        <v>124</v>
      </c>
      <c r="J1" s="92" t="s">
        <v>125</v>
      </c>
      <c r="K1" s="303" t="s">
        <v>119</v>
      </c>
      <c r="L1" s="303" t="s">
        <v>120</v>
      </c>
      <c r="M1" s="303" t="s">
        <v>121</v>
      </c>
      <c r="N1" s="92" t="s">
        <v>122</v>
      </c>
      <c r="O1" s="303" t="s">
        <v>123</v>
      </c>
      <c r="P1" s="92" t="s">
        <v>124</v>
      </c>
      <c r="Q1" s="92" t="s">
        <v>125</v>
      </c>
      <c r="R1" s="92" t="s">
        <v>119</v>
      </c>
      <c r="S1" s="303" t="s">
        <v>120</v>
      </c>
      <c r="T1" s="303" t="s">
        <v>121</v>
      </c>
      <c r="U1" s="303" t="s">
        <v>122</v>
      </c>
      <c r="V1" s="92" t="s">
        <v>123</v>
      </c>
      <c r="W1" s="92" t="s">
        <v>124</v>
      </c>
      <c r="X1" s="92" t="s">
        <v>125</v>
      </c>
      <c r="Y1" s="92" t="s">
        <v>119</v>
      </c>
      <c r="Z1" s="92" t="s">
        <v>120</v>
      </c>
      <c r="AA1" s="92" t="s">
        <v>121</v>
      </c>
      <c r="AB1" s="92" t="s">
        <v>122</v>
      </c>
      <c r="AC1" s="92" t="s">
        <v>123</v>
      </c>
      <c r="AD1" s="92" t="s">
        <v>124</v>
      </c>
      <c r="AE1" s="92" t="s">
        <v>125</v>
      </c>
      <c r="AF1" s="92" t="s">
        <v>119</v>
      </c>
      <c r="AG1" s="92" t="s">
        <v>120</v>
      </c>
      <c r="AH1" s="304"/>
      <c r="AI1" s="5"/>
      <c r="AJ1" s="304"/>
      <c r="AK1" s="5"/>
      <c r="AL1" s="93"/>
      <c r="AM1" s="93"/>
      <c r="AN1" s="277"/>
    </row>
    <row x14ac:dyDescent="0.25" r="2" customHeight="1" ht="18.75">
      <c r="A2" s="94" t="s">
        <v>126</v>
      </c>
      <c r="B2" s="95" t="s">
        <v>86</v>
      </c>
      <c r="C2" s="96">
        <f>'Cash Flow'!A8</f>
        <v>25568.708333333332</v>
      </c>
      <c r="D2" s="96">
        <f>C2+1</f>
        <v>25568.708333333332</v>
      </c>
      <c r="E2" s="96">
        <f>D2+1</f>
        <v>25568.708333333332</v>
      </c>
      <c r="F2" s="96">
        <f>E2+1</f>
        <v>25568.708333333332</v>
      </c>
      <c r="G2" s="96">
        <f>F2+1</f>
        <v>25568.708333333332</v>
      </c>
      <c r="H2" s="96">
        <f>G2+1</f>
        <v>25568.708333333332</v>
      </c>
      <c r="I2" s="96">
        <f>H2+1</f>
        <v>25568.708333333332</v>
      </c>
      <c r="J2" s="96">
        <f>I2+1</f>
        <v>25568.708333333332</v>
      </c>
      <c r="K2" s="96">
        <f>J2+1</f>
        <v>25568.708333333332</v>
      </c>
      <c r="L2" s="96">
        <f>K2+1</f>
        <v>25568.708333333332</v>
      </c>
      <c r="M2" s="96">
        <f>L2+1</f>
        <v>25568.708333333332</v>
      </c>
      <c r="N2" s="96">
        <f>M2+1</f>
        <v>25568.708333333332</v>
      </c>
      <c r="O2" s="96">
        <f>N2+1</f>
        <v>25568.708333333332</v>
      </c>
      <c r="P2" s="96">
        <f>O2+1</f>
        <v>25568.708333333332</v>
      </c>
      <c r="Q2" s="96">
        <f>P2+1</f>
        <v>25568.708333333332</v>
      </c>
      <c r="R2" s="96">
        <f>Q2+1</f>
        <v>25568.708333333332</v>
      </c>
      <c r="S2" s="96">
        <f>R2+1</f>
        <v>25568.708333333332</v>
      </c>
      <c r="T2" s="96">
        <f>S2+1</f>
        <v>25568.708333333332</v>
      </c>
      <c r="U2" s="96">
        <f>T2+1</f>
        <v>25568.708333333332</v>
      </c>
      <c r="V2" s="96">
        <f>U2+1</f>
        <v>25568.708333333332</v>
      </c>
      <c r="W2" s="96">
        <f>V2+1</f>
        <v>25568.708333333332</v>
      </c>
      <c r="X2" s="96">
        <f>W2+1</f>
        <v>25568.708333333332</v>
      </c>
      <c r="Y2" s="96">
        <f>X2+1</f>
        <v>25568.708333333332</v>
      </c>
      <c r="Z2" s="96">
        <f>Y2+1</f>
        <v>25568.708333333332</v>
      </c>
      <c r="AA2" s="96">
        <f>Z2+1</f>
        <v>25568.708333333332</v>
      </c>
      <c r="AB2" s="96">
        <f>AA2+1</f>
        <v>25568.708333333332</v>
      </c>
      <c r="AC2" s="96">
        <f>AB2+1</f>
        <v>25568.708333333332</v>
      </c>
      <c r="AD2" s="96">
        <f>AC2+1</f>
        <v>25568.708333333332</v>
      </c>
      <c r="AE2" s="96">
        <f>AD2+1</f>
        <v>25568.708333333332</v>
      </c>
      <c r="AF2" s="96">
        <f>AE2+1</f>
        <v>25568.708333333332</v>
      </c>
      <c r="AG2" s="96">
        <f>AF2+1</f>
        <v>25568.708333333332</v>
      </c>
      <c r="AH2" s="305" t="s">
        <v>127</v>
      </c>
      <c r="AI2" s="42"/>
      <c r="AJ2" s="306" t="s">
        <v>126</v>
      </c>
      <c r="AK2" s="95" t="s">
        <v>86</v>
      </c>
      <c r="AL2" s="93"/>
      <c r="AM2" s="93"/>
      <c r="AN2" s="277"/>
    </row>
    <row x14ac:dyDescent="0.25" r="3" customHeight="1" ht="21">
      <c r="A3" s="99" t="s">
        <v>46</v>
      </c>
      <c r="B3" s="100" t="s">
        <v>47</v>
      </c>
      <c r="C3" s="307">
        <v>19.1</v>
      </c>
      <c r="D3" s="101">
        <v>8.93</v>
      </c>
      <c r="E3" s="101"/>
      <c r="F3" s="101">
        <v>8.5</v>
      </c>
      <c r="G3" s="101">
        <v>10.48</v>
      </c>
      <c r="H3" s="101">
        <v>20.18</v>
      </c>
      <c r="I3" s="101">
        <v>45.36</v>
      </c>
      <c r="J3" s="101">
        <v>51.23</v>
      </c>
      <c r="K3" s="101">
        <v>5.81</v>
      </c>
      <c r="L3" s="101"/>
      <c r="M3" s="101">
        <v>14.63</v>
      </c>
      <c r="N3" s="101">
        <v>7.73</v>
      </c>
      <c r="O3" s="101">
        <v>36.37</v>
      </c>
      <c r="P3" s="101">
        <v>53.38</v>
      </c>
      <c r="Q3" s="101">
        <v>47.21</v>
      </c>
      <c r="R3" s="101">
        <v>10.12</v>
      </c>
      <c r="S3" s="101"/>
      <c r="T3" s="101">
        <v>15.76</v>
      </c>
      <c r="U3" s="101">
        <v>13.62</v>
      </c>
      <c r="V3" s="101">
        <v>20.7</v>
      </c>
      <c r="W3" s="101">
        <v>37.85</v>
      </c>
      <c r="X3" s="101">
        <v>51.12</v>
      </c>
      <c r="Y3" s="101">
        <v>16.22</v>
      </c>
      <c r="Z3" s="101">
        <v>21.29</v>
      </c>
      <c r="AA3" s="101">
        <v>38.75</v>
      </c>
      <c r="AB3" s="101">
        <v>18.68</v>
      </c>
      <c r="AC3" s="101">
        <v>48.14</v>
      </c>
      <c r="AD3" s="101">
        <v>82.23</v>
      </c>
      <c r="AE3" s="101">
        <v>94.08</v>
      </c>
      <c r="AF3" s="101">
        <v>47.67</v>
      </c>
      <c r="AG3" s="101">
        <v>28.95</v>
      </c>
      <c r="AH3" s="102">
        <f>SUM(C3:AG3)</f>
      </c>
      <c r="AI3" s="5"/>
      <c r="AJ3" s="308" t="s">
        <v>46</v>
      </c>
      <c r="AK3" s="100" t="s">
        <v>47</v>
      </c>
      <c r="AL3" s="30"/>
      <c r="AM3" s="30"/>
      <c r="AN3" s="277"/>
    </row>
    <row x14ac:dyDescent="0.25" r="4" customHeight="1" ht="20.25">
      <c r="A4" s="104" t="s">
        <v>2</v>
      </c>
      <c r="B4" s="105" t="s">
        <v>3</v>
      </c>
      <c r="C4" s="106">
        <v>3227.2</v>
      </c>
      <c r="D4" s="108">
        <v>1013.2</v>
      </c>
      <c r="E4" s="106"/>
      <c r="F4" s="106">
        <v>928</v>
      </c>
      <c r="G4" s="106">
        <v>939.2</v>
      </c>
      <c r="H4" s="106">
        <v>1675.2</v>
      </c>
      <c r="I4" s="106">
        <v>5612.4</v>
      </c>
      <c r="J4" s="106">
        <v>3467.6</v>
      </c>
      <c r="K4" s="106">
        <v>517</v>
      </c>
      <c r="L4" s="106"/>
      <c r="M4" s="106">
        <v>1626</v>
      </c>
      <c r="N4" s="106">
        <v>1032.8</v>
      </c>
      <c r="O4" s="106">
        <f>2506.8+432</f>
      </c>
      <c r="P4" s="106">
        <v>5480.4</v>
      </c>
      <c r="Q4" s="106">
        <v>5078.4</v>
      </c>
      <c r="R4" s="106">
        <v>1739.2</v>
      </c>
      <c r="S4" s="106"/>
      <c r="T4" s="106">
        <v>2076.4</v>
      </c>
      <c r="U4" s="106">
        <v>1958.8</v>
      </c>
      <c r="V4" s="106">
        <f>3088.4+64.8</f>
      </c>
      <c r="W4" s="106">
        <v>4733.2</v>
      </c>
      <c r="X4" s="106">
        <v>4517.2</v>
      </c>
      <c r="Y4" s="106">
        <v>2264.8</v>
      </c>
      <c r="Z4" s="106">
        <v>2520</v>
      </c>
      <c r="AA4" s="106">
        <f>3020.8+370.8</f>
      </c>
      <c r="AB4" s="106">
        <v>3108.4</v>
      </c>
      <c r="AC4" s="106">
        <v>4365.6</v>
      </c>
      <c r="AD4" s="106">
        <v>11526.4</v>
      </c>
      <c r="AE4" s="106">
        <v>12779.6</v>
      </c>
      <c r="AF4" s="106">
        <v>7064</v>
      </c>
      <c r="AG4" s="106">
        <v>4978.4</v>
      </c>
      <c r="AH4" s="102">
        <f>SUM(C4:AG4)</f>
      </c>
      <c r="AI4" s="5"/>
      <c r="AJ4" s="309" t="s">
        <v>2</v>
      </c>
      <c r="AK4" s="105" t="s">
        <v>3</v>
      </c>
      <c r="AL4" s="30"/>
      <c r="AM4" s="30"/>
      <c r="AN4" s="277"/>
    </row>
    <row x14ac:dyDescent="0.25" r="5" customHeight="1" ht="20.25">
      <c r="A5" s="104"/>
      <c r="B5" s="310" t="s">
        <v>167</v>
      </c>
      <c r="C5" s="106"/>
      <c r="D5" s="108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2">
        <f>SUM(C5:AG5)</f>
      </c>
      <c r="AI5" s="5"/>
      <c r="AJ5" s="309"/>
      <c r="AK5" s="105"/>
      <c r="AL5" s="30"/>
      <c r="AM5" s="30"/>
      <c r="AN5" s="277"/>
    </row>
    <row x14ac:dyDescent="0.25" r="6" customHeight="1" ht="20.25">
      <c r="A6" s="104" t="s">
        <v>5</v>
      </c>
      <c r="B6" s="105" t="s">
        <v>168</v>
      </c>
      <c r="C6" s="106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>
        <v>487.8</v>
      </c>
      <c r="AE6" s="108">
        <v>378.6</v>
      </c>
      <c r="AF6" s="108">
        <v>293.4</v>
      </c>
      <c r="AG6" s="108">
        <v>261.6</v>
      </c>
      <c r="AH6" s="102">
        <f>SUM(C6:AG6)</f>
      </c>
      <c r="AI6" s="5"/>
      <c r="AJ6" s="309" t="s">
        <v>5</v>
      </c>
      <c r="AK6" s="105" t="s">
        <v>6</v>
      </c>
      <c r="AL6" s="93"/>
      <c r="AM6" s="30"/>
      <c r="AN6" s="277"/>
    </row>
    <row x14ac:dyDescent="0.25" r="7" customHeight="1" ht="20.25">
      <c r="A7" s="311" t="s">
        <v>169</v>
      </c>
      <c r="B7" s="312" t="s">
        <v>170</v>
      </c>
      <c r="C7" s="313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5">
        <f>SUM(C7:AG7)</f>
      </c>
      <c r="AI7" s="316"/>
      <c r="AJ7" s="317" t="s">
        <v>169</v>
      </c>
      <c r="AK7" s="312" t="s">
        <v>170</v>
      </c>
      <c r="AL7" s="93"/>
      <c r="AM7" s="30"/>
      <c r="AN7" s="277"/>
    </row>
    <row x14ac:dyDescent="0.25" r="8" customHeight="1" ht="20.25">
      <c r="A8" s="311" t="s">
        <v>7</v>
      </c>
      <c r="B8" s="312" t="s">
        <v>8</v>
      </c>
      <c r="C8" s="313">
        <f>375+240</f>
      </c>
      <c r="D8" s="314">
        <f>820+120</f>
      </c>
      <c r="E8" s="314">
        <v>145</v>
      </c>
      <c r="F8" s="314">
        <f>224+120</f>
      </c>
      <c r="G8" s="314">
        <f>352.5+240</f>
      </c>
      <c r="H8" s="314">
        <f>735+120</f>
      </c>
      <c r="I8" s="314">
        <f>52.5+240</f>
      </c>
      <c r="J8" s="314">
        <f>75+240</f>
      </c>
      <c r="K8" s="314">
        <v>120</v>
      </c>
      <c r="L8" s="314"/>
      <c r="M8" s="314">
        <f>670+120</f>
      </c>
      <c r="N8" s="314">
        <f>440+240</f>
      </c>
      <c r="O8" s="314">
        <f>165+120</f>
      </c>
      <c r="P8" s="314">
        <f>82.5+704</f>
      </c>
      <c r="Q8" s="314">
        <f>472.5+808</f>
      </c>
      <c r="R8" s="314">
        <f>165+464</f>
      </c>
      <c r="S8" s="314"/>
      <c r="T8" s="314">
        <v>240</v>
      </c>
      <c r="U8" s="314">
        <v>120</v>
      </c>
      <c r="V8" s="314">
        <f>160+240+75</f>
      </c>
      <c r="W8" s="314">
        <f>1557.5+808</f>
      </c>
      <c r="X8" s="314">
        <f>435+1032</f>
      </c>
      <c r="Y8" s="314">
        <v>824</v>
      </c>
      <c r="Z8" s="314">
        <f>82.5+224</f>
      </c>
      <c r="AA8" s="314">
        <f>685+704</f>
      </c>
      <c r="AB8" s="314">
        <v>600</v>
      </c>
      <c r="AC8" s="314">
        <f>165+480</f>
      </c>
      <c r="AD8" s="314">
        <f>215+1320</f>
      </c>
      <c r="AE8" s="314">
        <f>322.5+2800</f>
      </c>
      <c r="AF8" s="314">
        <f>110+1440+30</f>
      </c>
      <c r="AG8" s="314">
        <v>480</v>
      </c>
      <c r="AH8" s="315">
        <f>SUM(C8:AG8)</f>
      </c>
      <c r="AI8" s="316"/>
      <c r="AJ8" s="317" t="s">
        <v>7</v>
      </c>
      <c r="AK8" s="312" t="s">
        <v>8</v>
      </c>
      <c r="AL8" s="93"/>
      <c r="AM8" s="30"/>
      <c r="AN8" s="277"/>
    </row>
    <row x14ac:dyDescent="0.25" r="9" customHeight="1" ht="20.25">
      <c r="A9" s="311" t="s">
        <v>10</v>
      </c>
      <c r="B9" s="312" t="s">
        <v>11</v>
      </c>
      <c r="C9" s="313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Z9" s="314"/>
      <c r="AA9" s="314"/>
      <c r="AB9" s="314"/>
      <c r="AC9" s="314"/>
      <c r="AD9" s="314"/>
      <c r="AE9" s="314"/>
      <c r="AF9" s="314"/>
      <c r="AG9" s="314"/>
      <c r="AH9" s="315">
        <f>SUM(C9:AG9)</f>
      </c>
      <c r="AI9" s="316"/>
      <c r="AJ9" s="317" t="s">
        <v>10</v>
      </c>
      <c r="AK9" s="312" t="s">
        <v>11</v>
      </c>
      <c r="AL9" s="93"/>
      <c r="AM9" s="30"/>
      <c r="AN9" s="277"/>
    </row>
    <row x14ac:dyDescent="0.25" r="10" customHeight="1" ht="20.25">
      <c r="A10" s="311" t="s">
        <v>12</v>
      </c>
      <c r="B10" s="312" t="s">
        <v>171</v>
      </c>
      <c r="C10" s="313"/>
      <c r="D10" s="314"/>
      <c r="E10" s="314"/>
      <c r="F10" s="314"/>
      <c r="G10" s="314"/>
      <c r="H10" s="314"/>
      <c r="I10" s="314"/>
      <c r="J10" s="314"/>
      <c r="K10" s="314"/>
      <c r="L10" s="314"/>
      <c r="M10" s="314"/>
      <c r="N10" s="314"/>
      <c r="O10" s="314">
        <v>250</v>
      </c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  <c r="AC10" s="314"/>
      <c r="AD10" s="314"/>
      <c r="AE10" s="314"/>
      <c r="AF10" s="314"/>
      <c r="AG10" s="314"/>
      <c r="AH10" s="315">
        <f>SUM(C10:AG10)</f>
      </c>
      <c r="AI10" s="316"/>
      <c r="AJ10" s="317" t="s">
        <v>12</v>
      </c>
      <c r="AK10" s="312" t="s">
        <v>171</v>
      </c>
      <c r="AL10" s="93"/>
      <c r="AM10" s="30"/>
      <c r="AN10" s="277"/>
    </row>
    <row x14ac:dyDescent="0.25" r="11" customHeight="1" ht="20.25">
      <c r="A11" s="311" t="s">
        <v>48</v>
      </c>
      <c r="B11" s="312" t="s">
        <v>49</v>
      </c>
      <c r="C11" s="313"/>
      <c r="D11" s="314"/>
      <c r="E11" s="314"/>
      <c r="F11" s="314"/>
      <c r="G11" s="314"/>
      <c r="H11" s="314"/>
      <c r="I11" s="314"/>
      <c r="J11" s="314"/>
      <c r="K11" s="314"/>
      <c r="L11" s="314"/>
      <c r="M11" s="314"/>
      <c r="N11" s="314"/>
      <c r="O11" s="314"/>
      <c r="P11" s="314"/>
      <c r="Q11" s="314"/>
      <c r="R11" s="314"/>
      <c r="S11" s="314"/>
      <c r="T11" s="314"/>
      <c r="U11" s="314"/>
      <c r="V11" s="314"/>
      <c r="W11" s="314"/>
      <c r="X11" s="314"/>
      <c r="Y11" s="314"/>
      <c r="Z11" s="314"/>
      <c r="AA11" s="314"/>
      <c r="AB11" s="314"/>
      <c r="AC11" s="314"/>
      <c r="AD11" s="314"/>
      <c r="AE11" s="314"/>
      <c r="AF11" s="314"/>
      <c r="AG11" s="314"/>
      <c r="AH11" s="315">
        <f>SUM(C11:AG11)</f>
      </c>
      <c r="AI11" s="316"/>
      <c r="AJ11" s="317" t="s">
        <v>48</v>
      </c>
      <c r="AK11" s="312" t="s">
        <v>49</v>
      </c>
      <c r="AL11" s="93"/>
      <c r="AM11" s="30"/>
      <c r="AN11" s="277"/>
    </row>
    <row x14ac:dyDescent="0.25" r="12" customHeight="1" ht="20.25">
      <c r="A12" s="311" t="s">
        <v>51</v>
      </c>
      <c r="B12" s="312" t="s">
        <v>52</v>
      </c>
      <c r="C12" s="313"/>
      <c r="D12" s="314"/>
      <c r="E12" s="314"/>
      <c r="F12" s="314"/>
      <c r="G12" s="314"/>
      <c r="H12" s="314"/>
      <c r="I12" s="314"/>
      <c r="J12" s="314"/>
      <c r="K12" s="314"/>
      <c r="L12" s="314"/>
      <c r="M12" s="314"/>
      <c r="N12" s="314"/>
      <c r="O12" s="314"/>
      <c r="P12" s="314"/>
      <c r="Q12" s="314"/>
      <c r="R12" s="314"/>
      <c r="S12" s="314"/>
      <c r="T12" s="314"/>
      <c r="U12" s="314"/>
      <c r="V12" s="314"/>
      <c r="W12" s="314"/>
      <c r="X12" s="314"/>
      <c r="Y12" s="314"/>
      <c r="Z12" s="314"/>
      <c r="AA12" s="314"/>
      <c r="AB12" s="314"/>
      <c r="AC12" s="314"/>
      <c r="AD12" s="314"/>
      <c r="AE12" s="314"/>
      <c r="AF12" s="314"/>
      <c r="AG12" s="314"/>
      <c r="AH12" s="315">
        <f>SUM(C12:AG12)</f>
      </c>
      <c r="AI12" s="316"/>
      <c r="AJ12" s="317" t="s">
        <v>51</v>
      </c>
      <c r="AK12" s="312" t="s">
        <v>52</v>
      </c>
      <c r="AL12" s="93"/>
      <c r="AM12" s="30"/>
      <c r="AN12" s="277"/>
    </row>
    <row x14ac:dyDescent="0.25" r="13" customHeight="1" ht="20.25">
      <c r="A13" s="311" t="s">
        <v>54</v>
      </c>
      <c r="B13" s="312" t="s">
        <v>55</v>
      </c>
      <c r="C13" s="313"/>
      <c r="D13" s="314"/>
      <c r="E13" s="314"/>
      <c r="F13" s="314"/>
      <c r="G13" s="314"/>
      <c r="H13" s="314"/>
      <c r="I13" s="314"/>
      <c r="J13" s="314"/>
      <c r="K13" s="314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314"/>
      <c r="AC13" s="314"/>
      <c r="AD13" s="314"/>
      <c r="AE13" s="314"/>
      <c r="AF13" s="314"/>
      <c r="AG13" s="314"/>
      <c r="AH13" s="315">
        <f>SUM(C13:AG13)</f>
      </c>
      <c r="AI13" s="316"/>
      <c r="AJ13" s="317" t="s">
        <v>54</v>
      </c>
      <c r="AK13" s="312" t="s">
        <v>55</v>
      </c>
      <c r="AL13" s="93"/>
      <c r="AM13" s="30"/>
      <c r="AN13" s="277"/>
    </row>
    <row x14ac:dyDescent="0.25" r="14" customHeight="1" ht="20.25">
      <c r="A14" s="104" t="s">
        <v>14</v>
      </c>
      <c r="B14" s="105" t="s">
        <v>15</v>
      </c>
      <c r="C14" s="106"/>
      <c r="D14" s="108">
        <f>42+2</f>
      </c>
      <c r="E14" s="108"/>
      <c r="F14" s="108">
        <v>4</v>
      </c>
      <c r="G14" s="108">
        <f>8+2</f>
      </c>
      <c r="H14" s="108">
        <v>19</v>
      </c>
      <c r="I14" s="108"/>
      <c r="J14" s="108">
        <v>4</v>
      </c>
      <c r="K14" s="108">
        <v>44</v>
      </c>
      <c r="L14" s="108"/>
      <c r="M14" s="108">
        <v>8</v>
      </c>
      <c r="N14" s="108">
        <v>20</v>
      </c>
      <c r="O14" s="108">
        <v>32</v>
      </c>
      <c r="P14" s="108"/>
      <c r="Q14" s="108">
        <v>20</v>
      </c>
      <c r="R14" s="108">
        <v>4</v>
      </c>
      <c r="S14" s="108"/>
      <c r="T14" s="108">
        <v>4</v>
      </c>
      <c r="U14" s="108">
        <v>12</v>
      </c>
      <c r="V14" s="108"/>
      <c r="W14" s="108">
        <v>8</v>
      </c>
      <c r="X14" s="108">
        <v>16</v>
      </c>
      <c r="Y14" s="108">
        <v>12</v>
      </c>
      <c r="Z14" s="108">
        <v>100</v>
      </c>
      <c r="AA14" s="108">
        <v>4</v>
      </c>
      <c r="AB14" s="108">
        <v>12</v>
      </c>
      <c r="AC14" s="108"/>
      <c r="AD14" s="108">
        <v>12</v>
      </c>
      <c r="AE14" s="108">
        <v>8</v>
      </c>
      <c r="AF14" s="108">
        <v>12</v>
      </c>
      <c r="AG14" s="108">
        <v>8</v>
      </c>
      <c r="AH14" s="102">
        <f>SUM(C14:AG14)</f>
      </c>
      <c r="AI14" s="5"/>
      <c r="AJ14" s="309" t="s">
        <v>14</v>
      </c>
      <c r="AK14" s="105" t="s">
        <v>15</v>
      </c>
      <c r="AL14" s="93"/>
      <c r="AM14" s="93"/>
      <c r="AN14" s="277"/>
    </row>
    <row x14ac:dyDescent="0.25" r="15" customHeight="1" ht="20.25">
      <c r="A15" s="104" t="s">
        <v>16</v>
      </c>
      <c r="B15" s="105" t="s">
        <v>17</v>
      </c>
      <c r="C15" s="106">
        <v>194.92</v>
      </c>
      <c r="D15" s="108">
        <v>83.63</v>
      </c>
      <c r="E15" s="108"/>
      <c r="F15" s="108">
        <v>83.62</v>
      </c>
      <c r="G15" s="108">
        <v>108.07</v>
      </c>
      <c r="H15" s="108">
        <v>208.6</v>
      </c>
      <c r="I15" s="108">
        <v>470.5</v>
      </c>
      <c r="J15" s="108">
        <v>537.83</v>
      </c>
      <c r="K15" s="108">
        <v>58.06</v>
      </c>
      <c r="L15" s="108"/>
      <c r="M15" s="108">
        <v>148.79</v>
      </c>
      <c r="N15" s="108">
        <v>74.06</v>
      </c>
      <c r="O15" s="108">
        <v>380.98</v>
      </c>
      <c r="P15" s="108">
        <v>550.39</v>
      </c>
      <c r="Q15" s="108">
        <v>492.03</v>
      </c>
      <c r="R15" s="108">
        <v>106.13</v>
      </c>
      <c r="S15" s="108"/>
      <c r="T15" s="108">
        <v>159.42</v>
      </c>
      <c r="U15" s="108">
        <v>139.17</v>
      </c>
      <c r="V15" s="108">
        <v>213.51</v>
      </c>
      <c r="W15" s="108">
        <v>393.3</v>
      </c>
      <c r="X15" s="108">
        <v>531.94</v>
      </c>
      <c r="Y15" s="108">
        <v>162.41</v>
      </c>
      <c r="Z15" s="108">
        <v>215.08</v>
      </c>
      <c r="AA15" s="108">
        <v>403.65</v>
      </c>
      <c r="AB15" s="108">
        <v>195.14</v>
      </c>
      <c r="AC15" s="108">
        <v>503.25</v>
      </c>
      <c r="AD15" s="108">
        <v>863.61</v>
      </c>
      <c r="AE15" s="108">
        <v>983.67</v>
      </c>
      <c r="AF15" s="108">
        <v>503.43</v>
      </c>
      <c r="AG15" s="108">
        <v>302.27</v>
      </c>
      <c r="AH15" s="102">
        <f>SUM(C15:AG15)</f>
      </c>
      <c r="AI15" s="5"/>
      <c r="AJ15" s="309" t="s">
        <v>16</v>
      </c>
      <c r="AK15" s="105" t="s">
        <v>17</v>
      </c>
      <c r="AL15" s="93"/>
      <c r="AM15" s="93"/>
      <c r="AN15" s="277"/>
    </row>
    <row x14ac:dyDescent="0.25" r="16" customHeight="1" ht="20.25">
      <c r="A16" s="104" t="s">
        <v>18</v>
      </c>
      <c r="B16" s="105" t="s">
        <v>19</v>
      </c>
      <c r="C16" s="106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2">
        <f>SUM(C16:AG16)</f>
      </c>
      <c r="AI16" s="5"/>
      <c r="AJ16" s="309" t="s">
        <v>172</v>
      </c>
      <c r="AK16" s="105" t="s">
        <v>19</v>
      </c>
      <c r="AL16" s="93"/>
      <c r="AM16" s="93"/>
      <c r="AN16" s="277"/>
    </row>
    <row x14ac:dyDescent="0.25" r="17" customHeight="1" ht="20.25">
      <c r="A17" s="104" t="s">
        <v>20</v>
      </c>
      <c r="B17" s="105" t="s">
        <v>21</v>
      </c>
      <c r="C17" s="106">
        <v>145</v>
      </c>
      <c r="D17" s="108">
        <v>305</v>
      </c>
      <c r="E17" s="108">
        <v>145</v>
      </c>
      <c r="F17" s="108">
        <v>250</v>
      </c>
      <c r="G17" s="108">
        <v>137.5</v>
      </c>
      <c r="H17" s="108">
        <v>165</v>
      </c>
      <c r="I17" s="108">
        <v>52.5</v>
      </c>
      <c r="J17" s="108"/>
      <c r="K17" s="108">
        <v>135</v>
      </c>
      <c r="L17" s="108"/>
      <c r="M17" s="108"/>
      <c r="N17" s="108"/>
      <c r="O17" s="108">
        <v>80</v>
      </c>
      <c r="P17" s="108">
        <v>82.5</v>
      </c>
      <c r="Q17" s="108">
        <v>97.5</v>
      </c>
      <c r="R17" s="108">
        <v>295</v>
      </c>
      <c r="S17" s="108"/>
      <c r="T17" s="108">
        <v>32</v>
      </c>
      <c r="U17" s="108">
        <v>16</v>
      </c>
      <c r="V17" s="108">
        <v>115</v>
      </c>
      <c r="W17" s="108">
        <f>16+157.5</f>
      </c>
      <c r="X17" s="108">
        <f>32+110</f>
      </c>
      <c r="Y17" s="108"/>
      <c r="Z17" s="108">
        <f>32+52.5</f>
      </c>
      <c r="AA17" s="108">
        <f>640-32</f>
      </c>
      <c r="AB17" s="108">
        <v>75</v>
      </c>
      <c r="AC17" s="108"/>
      <c r="AD17" s="108">
        <v>110</v>
      </c>
      <c r="AE17" s="108">
        <f>16+62.5</f>
      </c>
      <c r="AF17" s="108"/>
      <c r="AG17" s="108">
        <v>16</v>
      </c>
      <c r="AH17" s="102">
        <f>SUM(C17:AG17)</f>
      </c>
      <c r="AI17" s="5"/>
      <c r="AJ17" s="309" t="s">
        <v>20</v>
      </c>
      <c r="AK17" s="105" t="s">
        <v>155</v>
      </c>
      <c r="AL17" s="30"/>
      <c r="AM17" s="93"/>
      <c r="AN17" s="277"/>
    </row>
    <row x14ac:dyDescent="0.25" r="18" customHeight="1" ht="20.25">
      <c r="A18" s="318" t="s">
        <v>173</v>
      </c>
      <c r="B18" s="105" t="s">
        <v>174</v>
      </c>
      <c r="C18" s="106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2">
        <f>SUM(C18:AG18)</f>
      </c>
      <c r="AI18" s="5"/>
      <c r="AJ18" s="319" t="s">
        <v>173</v>
      </c>
      <c r="AK18" s="105" t="s">
        <v>174</v>
      </c>
      <c r="AL18" s="30">
        <f>AH18*0.5</f>
      </c>
      <c r="AM18" s="93"/>
      <c r="AN18" s="277"/>
    </row>
    <row x14ac:dyDescent="0.25" r="19" customHeight="1" ht="20.25">
      <c r="A19" s="104" t="s">
        <v>25</v>
      </c>
      <c r="B19" s="105" t="s">
        <v>26</v>
      </c>
      <c r="C19" s="106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2">
        <f>SUM(C19:AG19)</f>
      </c>
      <c r="AI19" s="5"/>
      <c r="AJ19" s="309" t="s">
        <v>25</v>
      </c>
      <c r="AK19" s="105" t="s">
        <v>26</v>
      </c>
      <c r="AL19" s="93"/>
      <c r="AM19" s="93"/>
      <c r="AN19" s="277"/>
    </row>
    <row x14ac:dyDescent="0.25" r="20" customHeight="1" ht="20.25">
      <c r="A20" s="311" t="s">
        <v>29</v>
      </c>
      <c r="B20" s="312" t="s">
        <v>30</v>
      </c>
      <c r="C20" s="313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  <c r="AC20" s="314"/>
      <c r="AD20" s="314"/>
      <c r="AE20" s="314"/>
      <c r="AF20" s="314">
        <f>45+360</f>
      </c>
      <c r="AG20" s="314"/>
      <c r="AH20" s="315">
        <f>SUM(C20:AG20)</f>
      </c>
      <c r="AI20" s="316"/>
      <c r="AJ20" s="317" t="s">
        <v>29</v>
      </c>
      <c r="AK20" s="312" t="s">
        <v>175</v>
      </c>
      <c r="AL20" s="93"/>
      <c r="AM20" s="93"/>
      <c r="AN20" s="277"/>
    </row>
    <row x14ac:dyDescent="0.25" r="21" customHeight="1" ht="20.25">
      <c r="A21" s="104" t="s">
        <v>27</v>
      </c>
      <c r="B21" s="105" t="s">
        <v>28</v>
      </c>
      <c r="C21" s="106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2">
        <f>SUM(C21:AG21)</f>
      </c>
      <c r="AI21" s="5"/>
      <c r="AJ21" s="309" t="s">
        <v>27</v>
      </c>
      <c r="AK21" s="105" t="s">
        <v>28</v>
      </c>
      <c r="AL21" s="93"/>
      <c r="AM21" s="93"/>
      <c r="AN21" s="277"/>
    </row>
    <row x14ac:dyDescent="0.25" r="22" customHeight="1" ht="20.25">
      <c r="A22" s="104" t="s">
        <v>31</v>
      </c>
      <c r="B22" s="105" t="s">
        <v>32</v>
      </c>
      <c r="C22" s="106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2">
        <f>SUM(C22:AG22)</f>
      </c>
      <c r="AI22" s="5"/>
      <c r="AJ22" s="309" t="s">
        <v>31</v>
      </c>
      <c r="AK22" s="105" t="s">
        <v>32</v>
      </c>
      <c r="AL22" s="93"/>
      <c r="AM22" s="93"/>
      <c r="AN22" s="277"/>
    </row>
    <row x14ac:dyDescent="0.25" r="23" customHeight="1" ht="20.25">
      <c r="A23" s="104" t="s">
        <v>33</v>
      </c>
      <c r="B23" s="105" t="s">
        <v>34</v>
      </c>
      <c r="C23" s="106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2">
        <f>SUM(C23:AG23)</f>
      </c>
      <c r="AI23" s="5"/>
      <c r="AJ23" s="309" t="s">
        <v>33</v>
      </c>
      <c r="AK23" s="105" t="s">
        <v>34</v>
      </c>
      <c r="AL23" s="93"/>
      <c r="AM23" s="93"/>
      <c r="AN23" s="277"/>
    </row>
    <row x14ac:dyDescent="0.25" r="24" customHeight="1" ht="20.25">
      <c r="A24" s="104" t="s">
        <v>35</v>
      </c>
      <c r="B24" s="105" t="s">
        <v>36</v>
      </c>
      <c r="C24" s="106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2">
        <f>SUM(C24:AG24)</f>
      </c>
      <c r="AI24" s="5"/>
      <c r="AJ24" s="309" t="s">
        <v>35</v>
      </c>
      <c r="AK24" s="105" t="s">
        <v>36</v>
      </c>
      <c r="AL24" s="93"/>
      <c r="AM24" s="93"/>
      <c r="AN24" s="277"/>
    </row>
    <row x14ac:dyDescent="0.25" r="25" customHeight="1" ht="18.75">
      <c r="A25" s="104" t="s">
        <v>37</v>
      </c>
      <c r="B25" s="105" t="s">
        <v>38</v>
      </c>
      <c r="C25" s="106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2">
        <f>SUM(C25:AG25)</f>
      </c>
      <c r="AI25" s="5"/>
      <c r="AJ25" s="309" t="s">
        <v>37</v>
      </c>
      <c r="AK25" s="105" t="s">
        <v>38</v>
      </c>
      <c r="AL25" s="93"/>
      <c r="AM25" s="30"/>
      <c r="AN25" s="277"/>
    </row>
    <row x14ac:dyDescent="0.25" r="26" customHeight="1" ht="18.75">
      <c r="A26" s="104" t="s">
        <v>39</v>
      </c>
      <c r="B26" s="105" t="s">
        <v>40</v>
      </c>
      <c r="C26" s="121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02">
        <f>SUM(C26:AG26)</f>
      </c>
      <c r="AI26" s="5"/>
      <c r="AJ26" s="309" t="s">
        <v>39</v>
      </c>
      <c r="AK26" s="105" t="s">
        <v>40</v>
      </c>
      <c r="AL26" s="93"/>
      <c r="AM26" s="93"/>
      <c r="AN26" s="277"/>
    </row>
    <row x14ac:dyDescent="0.25" r="27" customHeight="1" ht="18.75">
      <c r="A27" s="104" t="s">
        <v>41</v>
      </c>
      <c r="B27" s="105" t="s">
        <v>42</v>
      </c>
      <c r="C27" s="121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02">
        <f>SUM(C27:AG27)</f>
      </c>
      <c r="AI27" s="5"/>
      <c r="AJ27" s="320" t="s">
        <v>41</v>
      </c>
      <c r="AK27" s="321" t="s">
        <v>42</v>
      </c>
      <c r="AL27" s="93"/>
      <c r="AM27" s="93"/>
      <c r="AN27" s="277"/>
    </row>
    <row x14ac:dyDescent="0.25" r="28" customHeight="1" ht="18.75">
      <c r="A28" s="124" t="s">
        <v>57</v>
      </c>
      <c r="B28" s="128" t="s">
        <v>58</v>
      </c>
      <c r="C28" s="322"/>
      <c r="D28" s="175"/>
      <c r="E28" s="175"/>
      <c r="F28" s="175"/>
      <c r="G28" s="175">
        <v>72</v>
      </c>
      <c r="H28" s="175">
        <v>120</v>
      </c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>
        <v>36</v>
      </c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02">
        <f>SUM(C28:AG28)</f>
      </c>
      <c r="AI28" s="5"/>
      <c r="AJ28" s="323" t="s">
        <v>57</v>
      </c>
      <c r="AK28" s="173" t="s">
        <v>58</v>
      </c>
      <c r="AL28" s="30"/>
      <c r="AM28" s="93"/>
      <c r="AN28" s="277"/>
    </row>
    <row x14ac:dyDescent="0.25" r="29" customHeight="1" ht="18.75">
      <c r="A29" s="324"/>
      <c r="B29" s="11" t="s">
        <v>43</v>
      </c>
      <c r="C29" s="116">
        <f>SUM(C3:C28)</f>
      </c>
      <c r="D29" s="116">
        <f>SUM(D3:D28)</f>
      </c>
      <c r="E29" s="116">
        <f>SUM(E3:E28)</f>
      </c>
      <c r="F29" s="116">
        <f>SUM(F3:F28)</f>
      </c>
      <c r="G29" s="116">
        <f>SUM(G3:G28)</f>
      </c>
      <c r="H29" s="116">
        <f>SUM(H3:H28)</f>
      </c>
      <c r="I29" s="116">
        <f>SUM(I3:I28)</f>
      </c>
      <c r="J29" s="116">
        <f>SUM(J3:J28)</f>
      </c>
      <c r="K29" s="116">
        <f>SUM(K3:K28)</f>
      </c>
      <c r="L29" s="116">
        <f>SUM(L3:L28)</f>
      </c>
      <c r="M29" s="116">
        <f>SUM(M3:M28)</f>
      </c>
      <c r="N29" s="116">
        <f>SUM(N3:N28)</f>
      </c>
      <c r="O29" s="116">
        <f>SUM(O3:O28)</f>
      </c>
      <c r="P29" s="116">
        <f>SUM(P3:P28)</f>
      </c>
      <c r="Q29" s="116">
        <f>SUM(Q3:Q28)</f>
      </c>
      <c r="R29" s="116">
        <f>SUM(R3:R28)</f>
      </c>
      <c r="S29" s="116">
        <f>SUM(S3:S28)</f>
      </c>
      <c r="T29" s="116">
        <f>SUM(T3:T28)</f>
      </c>
      <c r="U29" s="116">
        <f>SUM(U3:U28)</f>
      </c>
      <c r="V29" s="116">
        <f>SUM(V3:V28)</f>
      </c>
      <c r="W29" s="116">
        <f>SUM(W3:W28)</f>
      </c>
      <c r="X29" s="116">
        <f>SUM(X3:X28)</f>
      </c>
      <c r="Y29" s="116">
        <f>SUM(Y3:Y28)</f>
      </c>
      <c r="Z29" s="116">
        <f>SUM(Z3:Z28)</f>
      </c>
      <c r="AA29" s="116">
        <f>SUM(AA3:AA28)</f>
      </c>
      <c r="AB29" s="116">
        <f>SUM(AB3:AB28)</f>
      </c>
      <c r="AC29" s="116">
        <f>SUM(AC3:AC28)</f>
      </c>
      <c r="AD29" s="116">
        <f>SUM(AD3:AD28)</f>
      </c>
      <c r="AE29" s="116">
        <f>SUM(AE3:AE28)</f>
      </c>
      <c r="AF29" s="116">
        <f>SUM(AF3:AF28)</f>
      </c>
      <c r="AG29" s="116">
        <f>SUM(AG3:AG28)</f>
      </c>
      <c r="AH29" s="131">
        <f>SUM(C3:AG28)</f>
      </c>
      <c r="AI29" s="197"/>
      <c r="AJ29" s="325"/>
      <c r="AK29" s="326" t="s">
        <v>43</v>
      </c>
      <c r="AL29" s="93"/>
      <c r="AM29" s="93"/>
      <c r="AN29" s="277"/>
    </row>
    <row x14ac:dyDescent="0.25" r="30" customHeight="1" ht="18.75">
      <c r="A30" s="327"/>
      <c r="B30" s="16" t="s">
        <v>176</v>
      </c>
      <c r="C30" s="108">
        <v>4201.22</v>
      </c>
      <c r="D30" s="108">
        <v>2394.76</v>
      </c>
      <c r="E30" s="108">
        <v>290</v>
      </c>
      <c r="F30" s="108">
        <v>1618.12</v>
      </c>
      <c r="G30" s="108">
        <v>1869.75</v>
      </c>
      <c r="H30" s="108">
        <v>3062.98</v>
      </c>
      <c r="I30" s="108">
        <v>6473.26</v>
      </c>
      <c r="J30" s="108">
        <v>4375.66</v>
      </c>
      <c r="K30" s="108">
        <v>879.87</v>
      </c>
      <c r="L30" s="108"/>
      <c r="M30" s="108">
        <v>2587.42</v>
      </c>
      <c r="N30" s="108">
        <v>1814.59</v>
      </c>
      <c r="O30" s="108">
        <v>4003.15</v>
      </c>
      <c r="P30" s="108">
        <v>6953.17</v>
      </c>
      <c r="Q30" s="108">
        <v>7015.64</v>
      </c>
      <c r="R30" s="108">
        <v>2783.45</v>
      </c>
      <c r="S30" s="108"/>
      <c r="T30" s="108">
        <v>2527.58</v>
      </c>
      <c r="U30" s="108">
        <v>2259.59</v>
      </c>
      <c r="V30" s="108">
        <v>4013.41</v>
      </c>
      <c r="W30" s="108">
        <v>7711.35</v>
      </c>
      <c r="X30" s="108">
        <v>6725.26</v>
      </c>
      <c r="Y30" s="108">
        <v>3279.43</v>
      </c>
      <c r="Z30" s="108">
        <v>3247.37</v>
      </c>
      <c r="AA30" s="108">
        <v>5835</v>
      </c>
      <c r="AB30" s="108">
        <v>4009.22</v>
      </c>
      <c r="AC30" s="108">
        <v>5561.99</v>
      </c>
      <c r="AD30" s="108">
        <v>14617.04</v>
      </c>
      <c r="AE30" s="108">
        <v>17444.95</v>
      </c>
      <c r="AF30" s="108">
        <v>9515.5</v>
      </c>
      <c r="AG30" s="108">
        <v>6075.22</v>
      </c>
      <c r="AH30" s="328">
        <f>SUM(C30:AG30)</f>
      </c>
      <c r="AI30" s="197"/>
      <c r="AJ30" s="329"/>
      <c r="AK30" s="133"/>
      <c r="AL30" s="93"/>
      <c r="AM30" s="93"/>
      <c r="AN30" s="277"/>
    </row>
    <row x14ac:dyDescent="0.25" r="31" customHeight="1" ht="18.75">
      <c r="A31" s="330"/>
      <c r="B31" s="331" t="s">
        <v>177</v>
      </c>
      <c r="C31" s="175">
        <f>C29-C30</f>
      </c>
      <c r="D31" s="175">
        <f>D29-D30</f>
      </c>
      <c r="E31" s="175">
        <f>E29-E30</f>
      </c>
      <c r="F31" s="175">
        <f>F29-F30</f>
      </c>
      <c r="G31" s="175">
        <f>G29-G30</f>
      </c>
      <c r="H31" s="175">
        <f>H29-H30</f>
      </c>
      <c r="I31" s="175">
        <f>I29-I30</f>
      </c>
      <c r="J31" s="175">
        <f>J29-J30</f>
      </c>
      <c r="K31" s="175">
        <f>K29-K30</f>
      </c>
      <c r="L31" s="175">
        <f>L29-L30</f>
      </c>
      <c r="M31" s="175">
        <f>M29-M30</f>
      </c>
      <c r="N31" s="175">
        <f>N29-N30</f>
      </c>
      <c r="O31" s="175">
        <f>O29-O30</f>
      </c>
      <c r="P31" s="175">
        <f>P29-P30</f>
      </c>
      <c r="Q31" s="175">
        <f>Q29-Q30</f>
      </c>
      <c r="R31" s="175">
        <f>R29-R30</f>
      </c>
      <c r="S31" s="175">
        <f>S29-S30</f>
      </c>
      <c r="T31" s="175">
        <f>T29-T30</f>
      </c>
      <c r="U31" s="175">
        <f>U29-U30</f>
      </c>
      <c r="V31" s="175">
        <f>V29-V30</f>
      </c>
      <c r="W31" s="175">
        <f>W29-W30</f>
      </c>
      <c r="X31" s="175">
        <f>X29-X30</f>
      </c>
      <c r="Y31" s="175">
        <f>Y29-Y30</f>
      </c>
      <c r="Z31" s="175">
        <f>Z29-Z30</f>
      </c>
      <c r="AA31" s="175">
        <f>AA29-AA30</f>
      </c>
      <c r="AB31" s="175">
        <f>AB29-AB30</f>
      </c>
      <c r="AC31" s="175">
        <f>AC29-AC30</f>
      </c>
      <c r="AD31" s="175">
        <f>AD29-AD30</f>
      </c>
      <c r="AE31" s="175">
        <f>AE29-AE30</f>
      </c>
      <c r="AF31" s="175">
        <f>AF29-AF30</f>
      </c>
      <c r="AG31" s="175">
        <f>AG29-AG30</f>
      </c>
      <c r="AH31" s="176">
        <f>AH29-AH30</f>
      </c>
      <c r="AI31" s="197"/>
      <c r="AJ31" s="332" t="s">
        <v>133</v>
      </c>
      <c r="AK31" s="333"/>
      <c r="AL31" s="334"/>
      <c r="AM31" s="335"/>
      <c r="AN31" s="277"/>
    </row>
    <row x14ac:dyDescent="0.25" r="32" customHeight="1" ht="18.75">
      <c r="A32" s="336"/>
      <c r="B32" s="337"/>
      <c r="C32" s="338"/>
      <c r="D32" s="339"/>
      <c r="E32" s="340"/>
      <c r="F32" s="339"/>
      <c r="G32" s="339"/>
      <c r="H32" s="341"/>
      <c r="I32" s="339"/>
      <c r="J32" s="339"/>
      <c r="K32" s="340"/>
      <c r="L32" s="340"/>
      <c r="M32" s="340"/>
      <c r="N32" s="339"/>
      <c r="O32" s="340"/>
      <c r="P32" s="339"/>
      <c r="Q32" s="339"/>
      <c r="R32" s="338"/>
      <c r="S32" s="340"/>
      <c r="T32" s="340"/>
      <c r="U32" s="340"/>
      <c r="V32" s="339"/>
      <c r="W32" s="339"/>
      <c r="X32" s="339"/>
      <c r="Y32" s="338"/>
      <c r="Z32" s="339"/>
      <c r="AA32" s="339"/>
      <c r="AB32" s="339"/>
      <c r="AC32" s="339"/>
      <c r="AD32" s="339"/>
      <c r="AE32" s="339"/>
      <c r="AF32" s="339"/>
      <c r="AG32" s="339"/>
      <c r="AH32" s="342"/>
      <c r="AI32" s="5"/>
      <c r="AJ32" s="343" t="s">
        <v>126</v>
      </c>
      <c r="AK32" s="152" t="s">
        <v>86</v>
      </c>
      <c r="AL32" s="153" t="s">
        <v>135</v>
      </c>
      <c r="AM32" s="344" t="s">
        <v>136</v>
      </c>
      <c r="AN32" s="277"/>
    </row>
    <row x14ac:dyDescent="0.25" r="33" customHeight="1" ht="18.75">
      <c r="A33" s="10" t="s">
        <v>64</v>
      </c>
      <c r="B33" s="11" t="s">
        <v>139</v>
      </c>
      <c r="C33" s="345">
        <v>948.48</v>
      </c>
      <c r="D33" s="345">
        <v>784.41</v>
      </c>
      <c r="E33" s="345"/>
      <c r="F33" s="345">
        <v>468.77</v>
      </c>
      <c r="G33" s="345">
        <v>303.56</v>
      </c>
      <c r="H33" s="345">
        <v>815.61</v>
      </c>
      <c r="I33" s="345">
        <v>1413.42</v>
      </c>
      <c r="J33" s="345">
        <v>1132.23</v>
      </c>
      <c r="K33" s="345">
        <v>342.55</v>
      </c>
      <c r="L33" s="345"/>
      <c r="M33" s="345">
        <v>364.92</v>
      </c>
      <c r="N33" s="345">
        <v>342.7</v>
      </c>
      <c r="O33" s="345">
        <v>1768</v>
      </c>
      <c r="P33" s="345">
        <v>1126.28</v>
      </c>
      <c r="Q33" s="345">
        <v>1663.31</v>
      </c>
      <c r="R33" s="345">
        <v>423.2</v>
      </c>
      <c r="S33" s="345"/>
      <c r="T33" s="345">
        <v>463.17</v>
      </c>
      <c r="U33" s="345">
        <v>662.57</v>
      </c>
      <c r="V33" s="345">
        <v>695.56</v>
      </c>
      <c r="W33" s="345">
        <v>708.55</v>
      </c>
      <c r="X33" s="345">
        <v>1055.25</v>
      </c>
      <c r="Y33" s="345">
        <v>706.3</v>
      </c>
      <c r="Z33" s="345">
        <v>844.18</v>
      </c>
      <c r="AA33" s="346">
        <v>1366.03</v>
      </c>
      <c r="AB33" s="346">
        <v>831.07</v>
      </c>
      <c r="AC33" s="346">
        <v>788.94</v>
      </c>
      <c r="AD33" s="346">
        <v>2309.08</v>
      </c>
      <c r="AE33" s="346">
        <v>2504.82</v>
      </c>
      <c r="AF33" s="346">
        <v>2348.82</v>
      </c>
      <c r="AG33" s="346">
        <v>1088.39</v>
      </c>
      <c r="AH33" s="193">
        <f>SUM(C33:AG33)</f>
      </c>
      <c r="AI33" s="5"/>
      <c r="AJ33" s="347" t="s">
        <v>64</v>
      </c>
      <c r="AK33" s="348" t="s">
        <v>178</v>
      </c>
      <c r="AL33" s="349">
        <f>SUM(C33:Z33)</f>
      </c>
      <c r="AM33" s="350">
        <f>SUM(AA33:AG33)</f>
      </c>
      <c r="AN33" s="277"/>
    </row>
    <row x14ac:dyDescent="0.25" r="34" customHeight="1" ht="18.75">
      <c r="A34" s="15" t="s">
        <v>64</v>
      </c>
      <c r="B34" s="16" t="s">
        <v>179</v>
      </c>
      <c r="C34" s="351">
        <v>3254</v>
      </c>
      <c r="D34" s="351">
        <f>1610.35+32</f>
      </c>
      <c r="E34" s="351">
        <v>290</v>
      </c>
      <c r="F34" s="351">
        <v>1149.35</v>
      </c>
      <c r="G34" s="351">
        <v>1566.19</v>
      </c>
      <c r="H34" s="351">
        <v>2247.34</v>
      </c>
      <c r="I34" s="351">
        <v>5000.69</v>
      </c>
      <c r="J34" s="351">
        <v>3242.16</v>
      </c>
      <c r="K34" s="351">
        <v>537.33</v>
      </c>
      <c r="L34" s="351"/>
      <c r="M34" s="351">
        <v>2218.05</v>
      </c>
      <c r="N34" s="351">
        <v>1474.45</v>
      </c>
      <c r="O34" s="351">
        <v>2235.15</v>
      </c>
      <c r="P34" s="351">
        <v>5826.89</v>
      </c>
      <c r="Q34" s="351">
        <v>5309.49</v>
      </c>
      <c r="R34" s="351">
        <v>2360.25</v>
      </c>
      <c r="S34" s="351"/>
      <c r="T34" s="351">
        <v>2078.45</v>
      </c>
      <c r="U34" s="351">
        <v>1590.02</v>
      </c>
      <c r="V34" s="351">
        <v>3312</v>
      </c>
      <c r="W34" s="351">
        <v>7004.33</v>
      </c>
      <c r="X34" s="351">
        <v>5662.45</v>
      </c>
      <c r="Y34" s="352">
        <v>2618.13</v>
      </c>
      <c r="Z34" s="352">
        <v>2383.84</v>
      </c>
      <c r="AA34" s="352">
        <f>4618.97-150</f>
      </c>
      <c r="AB34" s="352">
        <v>3178.15</v>
      </c>
      <c r="AC34" s="352">
        <v>4773.05</v>
      </c>
      <c r="AD34" s="352">
        <v>12307.96</v>
      </c>
      <c r="AE34" s="352">
        <f>14916.1-18-45</f>
      </c>
      <c r="AF34" s="352">
        <v>7556.68</v>
      </c>
      <c r="AG34" s="352">
        <v>4986.83</v>
      </c>
      <c r="AH34" s="353">
        <f>SUM(C34:AG34)</f>
      </c>
      <c r="AI34" s="5"/>
      <c r="AJ34" s="354" t="s">
        <v>64</v>
      </c>
      <c r="AK34" s="16" t="s">
        <v>180</v>
      </c>
      <c r="AL34" s="169">
        <f>SUM(C34:X34)-AL45</f>
      </c>
      <c r="AM34" s="34">
        <f>SUM(Y34:AG34)-AM45</f>
      </c>
      <c r="AN34" s="277"/>
    </row>
    <row x14ac:dyDescent="0.25" r="35" customHeight="1" ht="18.75">
      <c r="A35" s="45" t="s">
        <v>64</v>
      </c>
      <c r="B35" s="46" t="s">
        <v>181</v>
      </c>
      <c r="C35" s="355"/>
      <c r="D35" s="355">
        <v>28</v>
      </c>
      <c r="E35" s="355"/>
      <c r="F35" s="356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7"/>
      <c r="Z35" s="357"/>
      <c r="AA35" s="355"/>
      <c r="AB35" s="355"/>
      <c r="AC35" s="355"/>
      <c r="AD35" s="355"/>
      <c r="AE35" s="355"/>
      <c r="AF35" s="355"/>
      <c r="AG35" s="355"/>
      <c r="AH35" s="353">
        <f>SUM(C35:AG35)</f>
      </c>
      <c r="AI35" s="5"/>
      <c r="AJ35" s="354" t="s">
        <v>64</v>
      </c>
      <c r="AK35" s="16" t="s">
        <v>182</v>
      </c>
      <c r="AL35" s="169">
        <f>SUM(C35:AE35)</f>
      </c>
      <c r="AM35" s="34">
        <f>SUM(AE35:AG35)</f>
      </c>
      <c r="AN35" s="277"/>
    </row>
    <row x14ac:dyDescent="0.25" r="36" customHeight="1" ht="18.75">
      <c r="A36" s="45" t="s">
        <v>64</v>
      </c>
      <c r="B36" s="46" t="s">
        <v>183</v>
      </c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55"/>
      <c r="Z36" s="355"/>
      <c r="AA36" s="355"/>
      <c r="AB36" s="355"/>
      <c r="AC36" s="355"/>
      <c r="AD36" s="355"/>
      <c r="AE36" s="355"/>
      <c r="AF36" s="355"/>
      <c r="AG36" s="355"/>
      <c r="AH36" s="353">
        <f>SUM(C36:AG36)</f>
      </c>
      <c r="AI36" s="5"/>
      <c r="AJ36" s="354" t="s">
        <v>64</v>
      </c>
      <c r="AK36" s="16" t="s">
        <v>184</v>
      </c>
      <c r="AL36" s="169"/>
      <c r="AM36" s="358"/>
      <c r="AN36" s="277"/>
    </row>
    <row x14ac:dyDescent="0.25" r="37" customHeight="1" ht="16.5">
      <c r="A37" s="45" t="s">
        <v>78</v>
      </c>
      <c r="B37" s="46" t="s">
        <v>185</v>
      </c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5"/>
      <c r="P37" s="355"/>
      <c r="Q37" s="355"/>
      <c r="R37" s="355"/>
      <c r="S37" s="355"/>
      <c r="T37" s="355"/>
      <c r="U37" s="355">
        <v>4</v>
      </c>
      <c r="V37" s="355"/>
      <c r="W37" s="355"/>
      <c r="X37" s="355"/>
      <c r="Y37" s="355"/>
      <c r="Z37" s="355"/>
      <c r="AA37" s="355"/>
      <c r="AB37" s="355"/>
      <c r="AC37" s="355"/>
      <c r="AD37" s="355"/>
      <c r="AE37" s="355"/>
      <c r="AF37" s="355"/>
      <c r="AG37" s="355"/>
      <c r="AH37" s="353">
        <f>SUM(C37:AG37)</f>
      </c>
      <c r="AI37" s="5"/>
      <c r="AJ37" s="354" t="s">
        <v>78</v>
      </c>
      <c r="AK37" s="16" t="s">
        <v>79</v>
      </c>
      <c r="AL37" s="169">
        <f>AH37</f>
      </c>
      <c r="AM37" s="358"/>
      <c r="AN37" s="359" t="s">
        <v>186</v>
      </c>
    </row>
    <row x14ac:dyDescent="0.25" r="38" customHeight="1" ht="18.75">
      <c r="A38" s="23" t="s">
        <v>57</v>
      </c>
      <c r="B38" s="24" t="s">
        <v>187</v>
      </c>
      <c r="C38" s="360"/>
      <c r="D38" s="360"/>
      <c r="E38" s="360"/>
      <c r="F38" s="360"/>
      <c r="G38" s="360"/>
      <c r="H38" s="360"/>
      <c r="I38" s="360">
        <v>60</v>
      </c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360"/>
      <c r="Z38" s="360"/>
      <c r="AA38" s="360"/>
      <c r="AB38" s="360"/>
      <c r="AC38" s="360"/>
      <c r="AD38" s="360"/>
      <c r="AE38" s="360"/>
      <c r="AF38" s="360"/>
      <c r="AG38" s="360"/>
      <c r="AH38" s="196">
        <f>SUM(C38:AG38)</f>
      </c>
      <c r="AI38" s="5"/>
      <c r="AJ38" s="354" t="s">
        <v>57</v>
      </c>
      <c r="AK38" s="16" t="s">
        <v>188</v>
      </c>
      <c r="AL38" s="169">
        <f>AH38</f>
      </c>
      <c r="AM38" s="358"/>
      <c r="AN38" s="277"/>
    </row>
    <row x14ac:dyDescent="0.25" r="39" customHeight="1" ht="18.75">
      <c r="A39" s="361"/>
      <c r="B39" s="362" t="s">
        <v>81</v>
      </c>
      <c r="C39" s="116">
        <f>SUM(C33:C38)</f>
      </c>
      <c r="D39" s="116">
        <f>SUM(D33:D38)</f>
      </c>
      <c r="E39" s="116">
        <f>SUM(E33:E38)</f>
      </c>
      <c r="F39" s="116">
        <f>SUM(F33:F38)</f>
      </c>
      <c r="G39" s="116">
        <f>SUM(G33:G38)</f>
      </c>
      <c r="H39" s="116">
        <f>SUM(H33:H38)</f>
      </c>
      <c r="I39" s="116">
        <f>SUM(I33:I38)</f>
      </c>
      <c r="J39" s="116">
        <f>SUM(J33:J38)</f>
      </c>
      <c r="K39" s="116">
        <f>SUM(K33:K38)</f>
      </c>
      <c r="L39" s="116">
        <f>SUM(L33:L38)</f>
      </c>
      <c r="M39" s="116">
        <f>SUM(M33:M38)</f>
      </c>
      <c r="N39" s="116">
        <f>SUM(N33:N38)</f>
      </c>
      <c r="O39" s="116">
        <f>SUM(O33:O38)</f>
      </c>
      <c r="P39" s="116">
        <f>SUM(P33:P38)</f>
      </c>
      <c r="Q39" s="116">
        <f>SUM(Q33:Q38)</f>
      </c>
      <c r="R39" s="116">
        <f>SUM(R33:R38)</f>
      </c>
      <c r="S39" s="116">
        <f>SUM(S33:S38)</f>
      </c>
      <c r="T39" s="116">
        <f>SUM(T33:T38)</f>
      </c>
      <c r="U39" s="116">
        <f>SUM(U33:U38)</f>
      </c>
      <c r="V39" s="116">
        <f>SUM(V33:V38)</f>
      </c>
      <c r="W39" s="116">
        <f>SUM(W33:W38)</f>
      </c>
      <c r="X39" s="116">
        <f>SUM(X33:X38)</f>
      </c>
      <c r="Y39" s="116">
        <f>SUM(Y33:Y38)</f>
      </c>
      <c r="Z39" s="116">
        <f>SUM(Z33:Z38)</f>
      </c>
      <c r="AA39" s="116">
        <f>SUM(AA33:AA38)</f>
      </c>
      <c r="AB39" s="116">
        <f>SUM(AB33:AB38)</f>
      </c>
      <c r="AC39" s="116">
        <f>SUM(AC33:AC38)</f>
      </c>
      <c r="AD39" s="116">
        <f>SUM(AD33:AD38)</f>
      </c>
      <c r="AE39" s="116">
        <f>SUM(AE33:AE38)</f>
      </c>
      <c r="AF39" s="116">
        <f>SUM(AF33:AF38)</f>
      </c>
      <c r="AG39" s="116">
        <f>SUM(AG33:AG38)</f>
      </c>
      <c r="AH39" s="193">
        <f>SUM(C39:AG39)</f>
      </c>
      <c r="AI39" s="5"/>
      <c r="AJ39" s="363" t="s">
        <v>118</v>
      </c>
      <c r="AK39" s="364"/>
      <c r="AL39" s="365">
        <f>SUM(AL33:AM38)</f>
      </c>
      <c r="AM39" s="366"/>
      <c r="AN39" s="367">
        <f>AL39-AH39+AL45+AM45</f>
      </c>
    </row>
    <row x14ac:dyDescent="0.25" r="40" customHeight="1" ht="18.75">
      <c r="A40" s="368"/>
      <c r="B40" s="369" t="s">
        <v>176</v>
      </c>
      <c r="C40" s="108">
        <f>C30</f>
      </c>
      <c r="D40" s="108">
        <f>D30</f>
      </c>
      <c r="E40" s="108">
        <f>E30</f>
      </c>
      <c r="F40" s="108">
        <f>F30</f>
      </c>
      <c r="G40" s="108">
        <f>G30</f>
      </c>
      <c r="H40" s="108">
        <f>H30</f>
      </c>
      <c r="I40" s="108">
        <f>I30</f>
      </c>
      <c r="J40" s="108">
        <f>J30</f>
      </c>
      <c r="K40" s="108">
        <f>K30</f>
      </c>
      <c r="L40" s="108">
        <f>L30</f>
      </c>
      <c r="M40" s="108">
        <f>M30</f>
      </c>
      <c r="N40" s="108">
        <f>N30</f>
      </c>
      <c r="O40" s="108">
        <f>O30</f>
      </c>
      <c r="P40" s="108">
        <f>P30</f>
      </c>
      <c r="Q40" s="108">
        <f>Q30</f>
      </c>
      <c r="R40" s="108">
        <f>R30</f>
      </c>
      <c r="S40" s="108">
        <f>S30</f>
      </c>
      <c r="T40" s="108">
        <f>T30</f>
      </c>
      <c r="U40" s="108">
        <f>U30</f>
      </c>
      <c r="V40" s="108">
        <f>V30</f>
      </c>
      <c r="W40" s="108">
        <f>W30</f>
      </c>
      <c r="X40" s="108">
        <f>X30</f>
      </c>
      <c r="Y40" s="108">
        <f>Y30</f>
      </c>
      <c r="Z40" s="108">
        <f>Z30</f>
      </c>
      <c r="AA40" s="108">
        <f>AA30</f>
      </c>
      <c r="AB40" s="108">
        <f>AB30</f>
      </c>
      <c r="AC40" s="108">
        <f>AC30</f>
      </c>
      <c r="AD40" s="108">
        <f>AD30</f>
      </c>
      <c r="AE40" s="108">
        <f>AE30</f>
      </c>
      <c r="AF40" s="108">
        <f>AF30</f>
      </c>
      <c r="AG40" s="108">
        <f>AG30</f>
      </c>
      <c r="AH40" s="353">
        <f>SUM(C40:AG40)</f>
      </c>
      <c r="AI40" s="5"/>
      <c r="AJ40" s="304"/>
      <c r="AK40" s="5"/>
      <c r="AL40" s="93"/>
      <c r="AM40" s="93"/>
      <c r="AN40" s="277"/>
    </row>
    <row x14ac:dyDescent="0.25" r="41" customHeight="1" ht="18.75">
      <c r="A41" s="178"/>
      <c r="B41" s="331" t="s">
        <v>177</v>
      </c>
      <c r="C41" s="175">
        <f>C39-C40</f>
      </c>
      <c r="D41" s="175">
        <f>D39-D40</f>
      </c>
      <c r="E41" s="175">
        <f>E39-E40</f>
      </c>
      <c r="F41" s="175">
        <f>F39-F40</f>
      </c>
      <c r="G41" s="175">
        <f>G39-G40</f>
      </c>
      <c r="H41" s="175">
        <f>H39-H40</f>
      </c>
      <c r="I41" s="175">
        <f>I39-I40</f>
      </c>
      <c r="J41" s="175">
        <f>J39-J40</f>
      </c>
      <c r="K41" s="175">
        <f>K39-K40</f>
      </c>
      <c r="L41" s="175">
        <f>L39-L40</f>
      </c>
      <c r="M41" s="175">
        <f>M39-M40</f>
      </c>
      <c r="N41" s="175">
        <f>N39-N40</f>
      </c>
      <c r="O41" s="175">
        <f>O39-O40</f>
      </c>
      <c r="P41" s="175">
        <f>P39-P40</f>
      </c>
      <c r="Q41" s="175">
        <f>Q39-Q40</f>
      </c>
      <c r="R41" s="175">
        <f>R39-R40</f>
      </c>
      <c r="S41" s="175">
        <f>S39-S40</f>
      </c>
      <c r="T41" s="175">
        <f>T39-T40</f>
      </c>
      <c r="U41" s="175">
        <f>U39-U40</f>
      </c>
      <c r="V41" s="175">
        <f>V39-V40</f>
      </c>
      <c r="W41" s="175">
        <f>W39-W40</f>
      </c>
      <c r="X41" s="175">
        <f>X39-X40</f>
      </c>
      <c r="Y41" s="175">
        <f>Y39-Y40</f>
      </c>
      <c r="Z41" s="175">
        <f>Z39-Z40</f>
      </c>
      <c r="AA41" s="175">
        <f>AA39-AA40</f>
      </c>
      <c r="AB41" s="175">
        <f>AB39-AB40</f>
      </c>
      <c r="AC41" s="175">
        <f>AC39-AC40</f>
      </c>
      <c r="AD41" s="175">
        <f>AD39-AD40</f>
      </c>
      <c r="AE41" s="175">
        <f>AE39-AE40</f>
      </c>
      <c r="AF41" s="175">
        <f>AF39-AF40</f>
      </c>
      <c r="AG41" s="175">
        <f>AG39-AG40</f>
      </c>
      <c r="AH41" s="196">
        <f>SUM(C41:AG41)</f>
      </c>
      <c r="AI41" s="5"/>
      <c r="AJ41" s="198">
        <f>AH39-AH40</f>
      </c>
      <c r="AK41" s="197"/>
      <c r="AL41" s="93"/>
      <c r="AM41" s="93"/>
      <c r="AN41" s="277"/>
    </row>
    <row x14ac:dyDescent="0.25" r="42" customHeight="1" ht="18.75">
      <c r="A42" s="183"/>
      <c r="B42" s="184"/>
      <c r="C42" s="185"/>
      <c r="D42" s="186"/>
      <c r="E42" s="370"/>
      <c r="F42" s="186"/>
      <c r="G42" s="186"/>
      <c r="H42" s="186"/>
      <c r="I42" s="186"/>
      <c r="J42" s="186"/>
      <c r="K42" s="370"/>
      <c r="L42" s="370"/>
      <c r="M42" s="370"/>
      <c r="N42" s="186"/>
      <c r="O42" s="370"/>
      <c r="P42" s="186"/>
      <c r="Q42" s="186"/>
      <c r="R42" s="186"/>
      <c r="S42" s="370"/>
      <c r="T42" s="370"/>
      <c r="U42" s="370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371"/>
      <c r="AI42" s="5"/>
      <c r="AJ42" s="372"/>
      <c r="AK42" s="197"/>
      <c r="AL42" s="93"/>
      <c r="AM42" s="373"/>
      <c r="AN42" s="80"/>
    </row>
    <row x14ac:dyDescent="0.25" r="43" customHeight="1" ht="18.75">
      <c r="A43" s="374"/>
      <c r="B43" s="375" t="s">
        <v>189</v>
      </c>
      <c r="C43" s="376">
        <f>SUM(C3:C28)-SUM(C33:C38)</f>
      </c>
      <c r="D43" s="376">
        <f>SUM(D3:D28)-SUM(D33:D38)</f>
      </c>
      <c r="E43" s="376">
        <f>SUM(E3:E28)-SUM(E33:E38)</f>
      </c>
      <c r="F43" s="376">
        <f>SUM(F3:F28)-SUM(F33:F38)</f>
      </c>
      <c r="G43" s="376">
        <f>SUM(G3:G28)-SUM(G33:G38)</f>
      </c>
      <c r="H43" s="376">
        <f>SUM(H3:H28)-SUM(H33:H38)</f>
      </c>
      <c r="I43" s="376">
        <f>SUM(I3:I28)-SUM(I33:I38)</f>
      </c>
      <c r="J43" s="376">
        <f>SUM(J3:J28)-SUM(J33:J38)</f>
      </c>
      <c r="K43" s="376">
        <f>SUM(K3:K28)-SUM(K33:K38)</f>
      </c>
      <c r="L43" s="376">
        <f>SUM(L3:L28)-SUM(L33:L38)</f>
      </c>
      <c r="M43" s="376">
        <f>SUM(M3:M28)-SUM(M33:M38)</f>
      </c>
      <c r="N43" s="376">
        <f>SUM(N3:N28)-SUM(N33:N38)</f>
      </c>
      <c r="O43" s="376">
        <f>SUM(O3:O28)-SUM(O33:O38)</f>
      </c>
      <c r="P43" s="376">
        <f>SUM(P3:P28)-SUM(P33:P38)</f>
      </c>
      <c r="Q43" s="376">
        <f>SUM(Q3:Q28)-SUM(Q33:Q38)</f>
      </c>
      <c r="R43" s="376">
        <f>SUM(R3:R28)-SUM(R33:R38)</f>
      </c>
      <c r="S43" s="376">
        <f>SUM(S3:S28)-SUM(S33:S38)</f>
      </c>
      <c r="T43" s="376">
        <f>SUM(T3:T28)-SUM(T33:T38)</f>
      </c>
      <c r="U43" s="376">
        <f>SUM(U3:U28)-SUM(U33:U38)</f>
      </c>
      <c r="V43" s="376">
        <f>SUM(V3:V28)-SUM(V33:V38)</f>
      </c>
      <c r="W43" s="376">
        <f>SUM(W3:W28)-SUM(W33:W38)</f>
      </c>
      <c r="X43" s="376">
        <f>SUM(X3:X28)-SUM(X33:X38)</f>
      </c>
      <c r="Y43" s="376">
        <f>SUM(Y3:Y28)-SUM(Y33:Y38)</f>
      </c>
      <c r="Z43" s="376">
        <f>SUM(Z3:Z28)-SUM(Z33:Z38)</f>
      </c>
      <c r="AA43" s="376">
        <f>SUM(AA3:AA28)-SUM(AA33:AA38)</f>
      </c>
      <c r="AB43" s="376">
        <f>SUM(AB3:AB28)-SUM(AB33:AB38)</f>
      </c>
      <c r="AC43" s="376">
        <f>SUM(AC3:AC28)-SUM(AC33:AC38)</f>
      </c>
      <c r="AD43" s="376">
        <f>SUM(AD3:AD28)-SUM(AD33:AD38)</f>
      </c>
      <c r="AE43" s="376">
        <f>SUM(AE3:AE28)-SUM(AE33:AE38)</f>
      </c>
      <c r="AF43" s="376">
        <f>SUM(AF3:AF28)-SUM(AF33:AF38)</f>
      </c>
      <c r="AG43" s="376">
        <f>SUM(AG3:AG28)-SUM(AG33:AG38)</f>
      </c>
      <c r="AH43" s="377">
        <f>SUM(C43:AG43)</f>
      </c>
      <c r="AI43" s="42"/>
      <c r="AJ43" s="378" t="s">
        <v>76</v>
      </c>
      <c r="AK43" s="205" t="s">
        <v>77</v>
      </c>
      <c r="AL43" s="206">
        <f>AH43</f>
      </c>
      <c r="AM43" s="207"/>
      <c r="AN43" s="359" t="s">
        <v>190</v>
      </c>
    </row>
    <row x14ac:dyDescent="0.25" r="44" customHeight="1" ht="18.75">
      <c r="A44" s="379"/>
      <c r="B44" s="184"/>
      <c r="C44" s="370"/>
      <c r="D44" s="186"/>
      <c r="E44" s="370"/>
      <c r="F44" s="186"/>
      <c r="G44" s="186"/>
      <c r="H44" s="186"/>
      <c r="I44" s="186"/>
      <c r="J44" s="186"/>
      <c r="K44" s="370"/>
      <c r="L44" s="370"/>
      <c r="M44" s="370"/>
      <c r="N44" s="186"/>
      <c r="O44" s="370"/>
      <c r="P44" s="186"/>
      <c r="Q44" s="186"/>
      <c r="R44" s="186"/>
      <c r="S44" s="370"/>
      <c r="T44" s="370"/>
      <c r="U44" s="370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371"/>
      <c r="AI44" s="42"/>
      <c r="AJ44" s="380"/>
      <c r="AK44" s="184"/>
      <c r="AL44" s="93"/>
      <c r="AM44" s="381">
        <f>AL39+AL43+AM43+AL45+AM45</f>
      </c>
      <c r="AN44" s="382">
        <f>AM44-AH29</f>
      </c>
    </row>
    <row x14ac:dyDescent="0.25" r="45" customHeight="1" ht="18.75">
      <c r="A45" s="54" t="s">
        <v>71</v>
      </c>
      <c r="B45" s="375" t="s">
        <v>149</v>
      </c>
      <c r="C45" s="383">
        <v>98.17</v>
      </c>
      <c r="D45" s="383">
        <f>48.32+0.96</f>
      </c>
      <c r="E45" s="383">
        <v>8.7</v>
      </c>
      <c r="F45" s="383">
        <v>34.48</v>
      </c>
      <c r="G45" s="383">
        <v>46.99</v>
      </c>
      <c r="H45" s="383">
        <v>68.5</v>
      </c>
      <c r="I45" s="383">
        <v>150.56</v>
      </c>
      <c r="J45" s="383">
        <v>97.81</v>
      </c>
      <c r="K45" s="383">
        <v>16.12</v>
      </c>
      <c r="L45" s="383"/>
      <c r="M45" s="383">
        <v>66.5</v>
      </c>
      <c r="N45" s="383">
        <v>45.26</v>
      </c>
      <c r="O45" s="383">
        <v>67.07</v>
      </c>
      <c r="P45" s="383">
        <v>174.83</v>
      </c>
      <c r="Q45" s="383">
        <v>164.16</v>
      </c>
      <c r="R45" s="383">
        <v>71.64</v>
      </c>
      <c r="S45" s="383"/>
      <c r="T45" s="383">
        <v>62.36</v>
      </c>
      <c r="U45" s="383">
        <v>47.69</v>
      </c>
      <c r="V45" s="383">
        <v>99.47</v>
      </c>
      <c r="W45" s="383">
        <v>211.15</v>
      </c>
      <c r="X45" s="383">
        <v>170.7</v>
      </c>
      <c r="Y45" s="384">
        <v>78.55</v>
      </c>
      <c r="Z45" s="384">
        <v>71.52</v>
      </c>
      <c r="AA45" s="384">
        <f>139.53-1.26-3.24</f>
      </c>
      <c r="AB45" s="384">
        <v>95.34</v>
      </c>
      <c r="AC45" s="384">
        <v>143.19</v>
      </c>
      <c r="AD45" s="384">
        <v>371.56</v>
      </c>
      <c r="AE45" s="384">
        <f>453.83-0.54-1.35</f>
      </c>
      <c r="AF45" s="384">
        <v>227.7</v>
      </c>
      <c r="AG45" s="385">
        <v>150.13</v>
      </c>
      <c r="AH45" s="377">
        <f>SUM(C45:AG45)</f>
      </c>
      <c r="AI45" s="42"/>
      <c r="AJ45" s="378" t="s">
        <v>71</v>
      </c>
      <c r="AK45" s="205" t="s">
        <v>150</v>
      </c>
      <c r="AL45" s="206">
        <f>SUM(C45:X45)</f>
      </c>
      <c r="AM45" s="386">
        <f>SUM(Y45:AG45)</f>
      </c>
      <c r="AN45" s="387"/>
    </row>
    <row x14ac:dyDescent="0.25" r="46" customHeight="1" ht="18.75">
      <c r="A46" s="379"/>
      <c r="B46" s="184"/>
      <c r="C46" s="370"/>
      <c r="D46" s="186"/>
      <c r="E46" s="370"/>
      <c r="F46" s="186"/>
      <c r="G46" s="186"/>
      <c r="H46" s="186"/>
      <c r="I46" s="186"/>
      <c r="J46" s="186"/>
      <c r="K46" s="370"/>
      <c r="L46" s="370"/>
      <c r="M46" s="370"/>
      <c r="N46" s="186"/>
      <c r="O46" s="370"/>
      <c r="P46" s="186"/>
      <c r="Q46" s="186"/>
      <c r="R46" s="186"/>
      <c r="S46" s="370"/>
      <c r="T46" s="370"/>
      <c r="U46" s="370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371"/>
      <c r="AI46" s="42"/>
      <c r="AJ46" s="380"/>
      <c r="AK46" s="184"/>
      <c r="AL46" s="93"/>
      <c r="AM46" s="93"/>
      <c r="AN46" s="277"/>
    </row>
    <row x14ac:dyDescent="0.25" r="47" customHeight="1" ht="18.75">
      <c r="A47" s="10"/>
      <c r="B47" s="388" t="s">
        <v>82</v>
      </c>
      <c r="C47" s="389">
        <v>218</v>
      </c>
      <c r="D47" s="389">
        <v>83</v>
      </c>
      <c r="E47" s="390"/>
      <c r="F47" s="389">
        <v>62</v>
      </c>
      <c r="G47" s="389">
        <v>93</v>
      </c>
      <c r="H47" s="389">
        <v>149</v>
      </c>
      <c r="I47" s="389">
        <v>399</v>
      </c>
      <c r="J47" s="389">
        <v>258</v>
      </c>
      <c r="K47" s="389">
        <v>75</v>
      </c>
      <c r="L47" s="390"/>
      <c r="M47" s="389">
        <v>134</v>
      </c>
      <c r="N47" s="389">
        <v>113</v>
      </c>
      <c r="O47" s="389">
        <f>181+60</f>
      </c>
      <c r="P47" s="389">
        <v>384</v>
      </c>
      <c r="Q47" s="389">
        <v>416</v>
      </c>
      <c r="R47" s="389">
        <v>130</v>
      </c>
      <c r="S47" s="390"/>
      <c r="T47" s="389">
        <v>156</v>
      </c>
      <c r="U47" s="389">
        <v>139</v>
      </c>
      <c r="V47" s="389">
        <f>215+6</f>
      </c>
      <c r="W47" s="389">
        <v>365</v>
      </c>
      <c r="X47" s="389">
        <v>339</v>
      </c>
      <c r="Y47" s="389">
        <v>194</v>
      </c>
      <c r="Z47" s="389">
        <v>221</v>
      </c>
      <c r="AA47" s="389">
        <f>217+51</f>
      </c>
      <c r="AB47" s="389">
        <v>267</v>
      </c>
      <c r="AC47" s="389">
        <v>373</v>
      </c>
      <c r="AD47" s="389">
        <v>864</v>
      </c>
      <c r="AE47" s="389">
        <v>952</v>
      </c>
      <c r="AF47" s="389">
        <v>564</v>
      </c>
      <c r="AG47" s="389">
        <v>382</v>
      </c>
      <c r="AH47" s="391">
        <f>SUM(C47:AG47)</f>
      </c>
      <c r="AI47" s="5"/>
      <c r="AJ47" s="392">
        <f>AH47</f>
      </c>
      <c r="AK47" s="147" t="s">
        <v>82</v>
      </c>
      <c r="AL47" s="393"/>
      <c r="AM47" s="393"/>
      <c r="AN47" s="394"/>
    </row>
    <row x14ac:dyDescent="0.25" r="48" customHeight="1" ht="18.75">
      <c r="A48" s="23"/>
      <c r="B48" s="331" t="s">
        <v>83</v>
      </c>
      <c r="C48" s="395">
        <v>37</v>
      </c>
      <c r="D48" s="395">
        <v>36</v>
      </c>
      <c r="E48" s="395">
        <v>2</v>
      </c>
      <c r="F48" s="395">
        <v>41</v>
      </c>
      <c r="G48" s="395">
        <v>58</v>
      </c>
      <c r="H48" s="395">
        <v>65</v>
      </c>
      <c r="I48" s="395">
        <v>65</v>
      </c>
      <c r="J48" s="395">
        <v>68</v>
      </c>
      <c r="K48" s="395">
        <v>9</v>
      </c>
      <c r="L48" s="396"/>
      <c r="M48" s="395">
        <v>45</v>
      </c>
      <c r="N48" s="395">
        <v>41</v>
      </c>
      <c r="O48" s="395">
        <v>52</v>
      </c>
      <c r="P48" s="395">
        <v>55</v>
      </c>
      <c r="Q48" s="395">
        <v>82</v>
      </c>
      <c r="R48" s="395">
        <v>39</v>
      </c>
      <c r="S48" s="396"/>
      <c r="T48" s="395">
        <v>56</v>
      </c>
      <c r="U48" s="395">
        <v>44</v>
      </c>
      <c r="V48" s="395">
        <v>49</v>
      </c>
      <c r="W48" s="395">
        <v>56</v>
      </c>
      <c r="X48" s="395">
        <v>97</v>
      </c>
      <c r="Y48" s="395">
        <v>39</v>
      </c>
      <c r="Z48" s="395">
        <v>28</v>
      </c>
      <c r="AA48" s="395">
        <v>59</v>
      </c>
      <c r="AB48" s="395">
        <v>43</v>
      </c>
      <c r="AC48" s="395">
        <v>74</v>
      </c>
      <c r="AD48" s="395">
        <v>70</v>
      </c>
      <c r="AE48" s="395">
        <v>38</v>
      </c>
      <c r="AF48" s="395">
        <v>86</v>
      </c>
      <c r="AG48" s="395">
        <v>55</v>
      </c>
      <c r="AH48" s="397">
        <f>SUM(C48:AG48)</f>
      </c>
      <c r="AI48" s="5"/>
      <c r="AJ48" s="398">
        <f>AH48</f>
      </c>
      <c r="AK48" s="173" t="s">
        <v>83</v>
      </c>
      <c r="AL48" s="93"/>
      <c r="AM48" s="93"/>
      <c r="AN48" s="277"/>
    </row>
    <row x14ac:dyDescent="0.25" r="49" customHeight="1" ht="18.75">
      <c r="A49" s="379"/>
      <c r="B49" s="399"/>
      <c r="C49" s="370"/>
      <c r="D49" s="186"/>
      <c r="E49" s="370"/>
      <c r="F49" s="186"/>
      <c r="G49" s="186"/>
      <c r="H49" s="186"/>
      <c r="I49" s="186"/>
      <c r="J49" s="186"/>
      <c r="K49" s="370"/>
      <c r="L49" s="370"/>
      <c r="M49" s="370"/>
      <c r="N49" s="186"/>
      <c r="O49" s="370"/>
      <c r="P49" s="186"/>
      <c r="Q49" s="186"/>
      <c r="R49" s="186"/>
      <c r="S49" s="370"/>
      <c r="T49" s="370"/>
      <c r="U49" s="370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371"/>
      <c r="AI49" s="5"/>
      <c r="AJ49" s="380"/>
      <c r="AK49" s="399"/>
      <c r="AL49" s="93"/>
      <c r="AM49" s="93"/>
      <c r="AN49" s="277"/>
    </row>
    <row x14ac:dyDescent="0.25" r="50" customHeight="1" ht="18.75">
      <c r="A50" s="54"/>
      <c r="B50" s="205" t="s">
        <v>84</v>
      </c>
      <c r="C50" s="400">
        <f>C47+C48</f>
      </c>
      <c r="D50" s="400">
        <f>D47+D48</f>
      </c>
      <c r="E50" s="400">
        <f>E47+E48</f>
      </c>
      <c r="F50" s="400">
        <f>F47+F48</f>
      </c>
      <c r="G50" s="400">
        <f>G47+G48</f>
      </c>
      <c r="H50" s="400">
        <f>H47+H48</f>
      </c>
      <c r="I50" s="400">
        <f>I47+I48</f>
      </c>
      <c r="J50" s="400">
        <f>J47+J48</f>
      </c>
      <c r="K50" s="400">
        <f>K47+K48</f>
      </c>
      <c r="L50" s="400">
        <f>L47+L48</f>
      </c>
      <c r="M50" s="400">
        <f>M47+M48</f>
      </c>
      <c r="N50" s="400">
        <f>N47+N48</f>
      </c>
      <c r="O50" s="400">
        <f>O47+O48</f>
      </c>
      <c r="P50" s="400">
        <f>P47+P48</f>
      </c>
      <c r="Q50" s="400">
        <f>Q47+Q48</f>
      </c>
      <c r="R50" s="400">
        <f>R47+R48</f>
      </c>
      <c r="S50" s="400">
        <f>S47+S48</f>
      </c>
      <c r="T50" s="400">
        <f>T47+T48</f>
      </c>
      <c r="U50" s="400">
        <f>U47+U48</f>
      </c>
      <c r="V50" s="400">
        <f>V47+V48</f>
      </c>
      <c r="W50" s="400">
        <f>W47+W48</f>
      </c>
      <c r="X50" s="400">
        <f>X47+X48</f>
      </c>
      <c r="Y50" s="400">
        <f>Y47+Y48</f>
      </c>
      <c r="Z50" s="400">
        <f>Z47+Z48</f>
      </c>
      <c r="AA50" s="400">
        <f>AA47+AA48</f>
      </c>
      <c r="AB50" s="400">
        <f>AB47+AB48</f>
      </c>
      <c r="AC50" s="400">
        <f>AC47+AC48</f>
      </c>
      <c r="AD50" s="400">
        <f>AD47+AD48</f>
      </c>
      <c r="AE50" s="400">
        <f>AE47+AE48</f>
      </c>
      <c r="AF50" s="400">
        <f>AF47+AF48</f>
      </c>
      <c r="AG50" s="401">
        <f>AG47+AG48</f>
      </c>
      <c r="AH50" s="402">
        <f>SUM(C50:AG50)</f>
      </c>
      <c r="AI50" s="5"/>
      <c r="AJ50" s="403">
        <f>AH50</f>
      </c>
      <c r="AK50" s="326" t="s">
        <v>84</v>
      </c>
      <c r="AL50" s="93"/>
      <c r="AM50" s="93"/>
      <c r="AN50" s="277"/>
    </row>
    <row x14ac:dyDescent="0.25" r="51" customHeight="1" ht="18.75">
      <c r="A51" s="379"/>
      <c r="B51" s="184"/>
      <c r="C51" s="370"/>
      <c r="D51" s="186"/>
      <c r="E51" s="370"/>
      <c r="F51" s="186"/>
      <c r="G51" s="186"/>
      <c r="H51" s="186"/>
      <c r="I51" s="186"/>
      <c r="J51" s="186"/>
      <c r="K51" s="370"/>
      <c r="L51" s="370"/>
      <c r="M51" s="370"/>
      <c r="N51" s="186"/>
      <c r="O51" s="370"/>
      <c r="P51" s="186"/>
      <c r="Q51" s="186"/>
      <c r="R51" s="186"/>
      <c r="S51" s="370"/>
      <c r="T51" s="370"/>
      <c r="U51" s="370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371"/>
      <c r="AI51" s="5"/>
      <c r="AJ51" s="404"/>
      <c r="AK51" s="184"/>
      <c r="AL51" s="93"/>
      <c r="AM51" s="93"/>
      <c r="AN51" s="277"/>
    </row>
    <row x14ac:dyDescent="0.25" r="52" customHeight="1" ht="18.75">
      <c r="A52" s="54"/>
      <c r="B52" s="205" t="s">
        <v>191</v>
      </c>
      <c r="C52" s="405">
        <f>IF(C50&lt;=1,0,IF(C50&gt;=0,(SUM(C4+C7+(C18*0.5))/C50)))</f>
      </c>
      <c r="D52" s="405">
        <f>IF(D50&lt;=1,0,IF(D50&gt;=0,(SUM(D4+D7+(D18*0.5))/D50)))</f>
      </c>
      <c r="E52" s="405">
        <f>IF(E50&lt;=1,0,IF(E50&gt;=0,(SUM(E4+E7+(E18*0.5))/E50)))</f>
      </c>
      <c r="F52" s="405">
        <f>IF(F50&lt;=1,0,IF(F50&gt;=0,(SUM(F4+F7+(F18*0.5))/F50)))</f>
      </c>
      <c r="G52" s="405">
        <f>IF(G50&lt;=1,0,IF(G50&gt;=0,(SUM(G4+G7+(G18*0.5))/G50)))</f>
      </c>
      <c r="H52" s="405">
        <f>IF(H50&lt;=1,0,IF(H50&gt;=0,(SUM(H4+H7+(H18*0.5))/H50)))</f>
      </c>
      <c r="I52" s="405">
        <f>IF(I50&lt;=1,0,IF(I50&gt;=0,(SUM(I4+I7+(I18*0.5))/I50)))</f>
      </c>
      <c r="J52" s="405">
        <f>IF(J50&lt;=1,0,IF(J50&gt;=0,(SUM(J4+J7+(J18*0.5))/J50)))</f>
      </c>
      <c r="K52" s="405">
        <f>IF(K50&lt;=1,0,IF(K50&gt;=0,(SUM(K4+K7+(K18*0.5))/K50)))</f>
      </c>
      <c r="L52" s="405">
        <f>IF(L50&lt;=1,0,IF(L50&gt;=0,(SUM(L4+L7+(L18*0.5))/L50)))</f>
      </c>
      <c r="M52" s="405">
        <f>IF(M50&lt;=1,0,IF(M50&gt;=0,(SUM(M4+M7+(M18*0.5))/M50)))</f>
      </c>
      <c r="N52" s="405">
        <f>IF(N50&lt;=1,0,IF(N50&gt;=0,(SUM(N4+N7+(N18*0.5))/N50)))</f>
      </c>
      <c r="O52" s="405">
        <f>IF(O50&lt;=1,0,IF(O50&gt;=0,(SUM(O4+O7+(O18*0.5))/O50)))</f>
      </c>
      <c r="P52" s="405">
        <f>IF(P50&lt;=1,0,IF(P50&gt;=0,(SUM(P4+P7+(P18*0.5))/P50)))</f>
      </c>
      <c r="Q52" s="405">
        <f>IF(Q50&lt;=1,0,IF(Q50&gt;=0,(SUM(Q4+Q7+(Q18*0.5))/Q50)))</f>
      </c>
      <c r="R52" s="405">
        <f>IF(R50&lt;=1,0,IF(R50&gt;=0,(SUM(R4+R7+(R18*0.5))/R50)))</f>
      </c>
      <c r="S52" s="405">
        <f>IF(S50&lt;=1,0,IF(S50&gt;=0,(SUM(S4+S7+(S18*0.5))/S50)))</f>
      </c>
      <c r="T52" s="405">
        <f>IF(T50&lt;=1,0,IF(T50&gt;=0,(SUM(T4+T7+(T18*0.5))/T50)))</f>
      </c>
      <c r="U52" s="405">
        <f>IF(U50&lt;=1,0,IF(U50&gt;=0,(SUM(U4+U7+(U18*0.5))/U50)))</f>
      </c>
      <c r="V52" s="405">
        <f>IF(V50&lt;=1,0,IF(V50&gt;=0,(SUM(V4+V7+(V18*0.5))/V50)))</f>
      </c>
      <c r="W52" s="405">
        <f>IF(W50&lt;=1,0,IF(W50&gt;=0,(SUM(W4+W7+(W18*0.5))/W50)))</f>
      </c>
      <c r="X52" s="405">
        <f>IF(X50&lt;=1,0,IF(X50&gt;=0,(SUM(X4+X7+(X18*0.5))/X50)))</f>
      </c>
      <c r="Y52" s="405">
        <f>IF(Y50&lt;=1,0,IF(Y50&gt;=0,(SUM(Y4+Y7+(Y18*0.5))/Y50)))</f>
      </c>
      <c r="Z52" s="405">
        <f>IF(Z50&lt;=1,0,IF(Z50&gt;=0,(SUM(Z4+Z7+(Z18*0.5))/Z50)))</f>
      </c>
      <c r="AA52" s="405">
        <f>IF(AA50&lt;=1,0,IF(AA50&gt;=0,(SUM(AA4+AA7+(AA18*0.5))/AA50)))</f>
      </c>
      <c r="AB52" s="405">
        <f>IF(AB50&lt;=1,0,IF(AB50&gt;=0,(SUM(AB4+AB7+(AB18*0.5))/AB50)))</f>
      </c>
      <c r="AC52" s="405">
        <f>IF(AC50&lt;=1,0,IF(AC50&gt;=0,(SUM(AC4+AC7+(AC18*0.5))/AC50)))</f>
      </c>
      <c r="AD52" s="405">
        <f>IF(AD50&lt;=1,0,IF(AD50&gt;=0,(SUM(AD4+AD7+(AD18*0.5))/AD50)))</f>
      </c>
      <c r="AE52" s="405">
        <f>IF(AE50&lt;=1,0,IF(AE50&gt;=0,(SUM(AE4+AE7+(AE18*0.5))/AE50)))</f>
      </c>
      <c r="AF52" s="405">
        <f>IF(AF50&lt;=1,0,IF(AF50&gt;=0,(SUM(AF4+AF7+(AF18*0.5))/AF50)))</f>
      </c>
      <c r="AG52" s="405">
        <f>IF(AG50&lt;=1,0,IF(AG50&gt;=0,(SUM(AG4+AG7+(AG18*0.5))/AG50)))</f>
      </c>
      <c r="AH52" s="377">
        <f>IFERROR(AVERAGEIF(C52:AG52, "&lt;&gt;0"),)</f>
      </c>
      <c r="AI52" s="5"/>
      <c r="AJ52" s="406">
        <f>AH52</f>
      </c>
      <c r="AK52" s="326" t="s">
        <v>192</v>
      </c>
      <c r="AL52" s="93"/>
      <c r="AM52" s="93"/>
      <c r="AN52" s="277"/>
    </row>
    <row x14ac:dyDescent="0.25" r="53" customHeight="1" ht="18.75">
      <c r="A53" s="5"/>
      <c r="B53" s="74"/>
      <c r="C53" s="73"/>
      <c r="D53" s="277"/>
      <c r="E53" s="73"/>
      <c r="F53" s="277"/>
      <c r="G53" s="277"/>
      <c r="H53" s="277"/>
      <c r="I53" s="277"/>
      <c r="J53" s="277"/>
      <c r="K53" s="73"/>
      <c r="L53" s="73"/>
      <c r="M53" s="73"/>
      <c r="N53" s="277"/>
      <c r="O53" s="73"/>
      <c r="P53" s="277"/>
      <c r="Q53" s="277"/>
      <c r="R53" s="277"/>
      <c r="S53" s="73"/>
      <c r="T53" s="73"/>
      <c r="U53" s="73"/>
      <c r="V53" s="277"/>
      <c r="W53" s="277"/>
      <c r="X53" s="277"/>
      <c r="Y53" s="277"/>
      <c r="Z53" s="277"/>
      <c r="AA53" s="277"/>
      <c r="AB53" s="277"/>
      <c r="AC53" s="277"/>
      <c r="AD53" s="277"/>
      <c r="AE53" s="277"/>
      <c r="AF53" s="277"/>
      <c r="AG53" s="277"/>
      <c r="AH53" s="304"/>
      <c r="AI53" s="5"/>
      <c r="AJ53" s="304"/>
      <c r="AK53" s="5"/>
      <c r="AL53" s="93"/>
      <c r="AM53" s="93"/>
      <c r="AN53" s="277"/>
    </row>
    <row x14ac:dyDescent="0.25" r="54" customHeight="1" ht="18.75">
      <c r="A54" s="54"/>
      <c r="B54" s="205" t="s">
        <v>193</v>
      </c>
      <c r="C54" s="407">
        <f>IF(C47&lt;=1,0,IF(C47&gt;=0,(SUM(C4+C7+(C18*0.5))/C47)))</f>
      </c>
      <c r="D54" s="407">
        <f>IF(D47&lt;=1,0,IF(D47&gt;=0,(SUM(D4+D7+(D18*0.5))/D47)))</f>
      </c>
      <c r="E54" s="407">
        <f>IF(E47&lt;=1,0,IF(E47&gt;=0,(SUM(E4+E7+(E18*0.5))/E47)))</f>
      </c>
      <c r="F54" s="407">
        <f>IF(F47&lt;=1,0,IF(F47&gt;=0,(SUM(F4+F7+(F18*0.5))/F47)))</f>
      </c>
      <c r="G54" s="407">
        <f>IF(G47&lt;=1,0,IF(G47&gt;=0,(SUM(G4+G7+(G18*0.5))/G47)))</f>
      </c>
      <c r="H54" s="407">
        <f>IF(H47&lt;=1,0,IF(H47&gt;=0,(SUM(H4+H7+(H18*0.5))/H47)))</f>
      </c>
      <c r="I54" s="407">
        <f>IF(I47&lt;=1,0,IF(I47&gt;=0,(SUM(I4+I7+(I18*0.5))/I47)))</f>
      </c>
      <c r="J54" s="407">
        <f>IF(J47&lt;=1,0,IF(J47&gt;=0,(SUM(J4+J7+(J18*0.5))/J47)))</f>
      </c>
      <c r="K54" s="407">
        <f>IF(K47&lt;=1,0,IF(K47&gt;=0,(SUM(K4+K7+(K18*0.5))/K47)))</f>
      </c>
      <c r="L54" s="407">
        <f>IF(L47&lt;=1,0,IF(L47&gt;=0,(SUM(L4+L7+(L18*0.5))/L47)))</f>
      </c>
      <c r="M54" s="407">
        <f>IF(M47&lt;=1,0,IF(M47&gt;=0,(SUM(M4+M7+(M18*0.5))/M47)))</f>
      </c>
      <c r="N54" s="407">
        <f>IF(N47&lt;=1,0,IF(N47&gt;=0,(SUM(N4+N7+(N18*0.5))/N47)))</f>
      </c>
      <c r="O54" s="407">
        <f>IF(O47&lt;=1,0,IF(O47&gt;=0,(SUM(O4+O7+(O18*0.5))/O47)))</f>
      </c>
      <c r="P54" s="407">
        <f>IF(P47&lt;=1,0,IF(P47&gt;=0,(SUM(P4+P7+(P18*0.5))/P47)))</f>
      </c>
      <c r="Q54" s="407">
        <f>IF(Q47&lt;=1,0,IF(Q47&gt;=0,(SUM(Q4+Q7+(Q18*0.5))/Q47)))</f>
      </c>
      <c r="R54" s="407">
        <f>IF(R47&lt;=1,0,IF(R47&gt;=0,(SUM(R4+R7+(R18*0.5))/R47)))</f>
      </c>
      <c r="S54" s="407">
        <f>IF(S47&lt;=1,0,IF(S47&gt;=0,(SUM(S4+S7+(S18*0.5))/S47)))</f>
      </c>
      <c r="T54" s="407">
        <f>IF(T47&lt;=1,0,IF(T47&gt;=0,(SUM(T4+T7+(T18*0.5))/T47)))</f>
      </c>
      <c r="U54" s="407">
        <f>IF(U47&lt;=1,0,IF(U47&gt;=0,(SUM(U4+U7+(U18*0.5))/U47)))</f>
      </c>
      <c r="V54" s="407">
        <f>IF(V47&lt;=1,0,IF(V47&gt;=0,(SUM(V4+V7+(V18*0.5))/V47)))</f>
      </c>
      <c r="W54" s="407">
        <f>IF(W47&lt;=1,0,IF(W47&gt;=0,(SUM(W4+W7+(W18*0.5))/W47)))</f>
      </c>
      <c r="X54" s="407">
        <f>IF(X47&lt;=1,0,IF(X47&gt;=0,(SUM(X4+X7+(X18*0.5))/X47)))</f>
      </c>
      <c r="Y54" s="407">
        <f>IF(Y47&lt;=1,0,IF(Y47&gt;=0,(SUM(Y4+Y7+(Y18*0.5))/Y47)))</f>
      </c>
      <c r="Z54" s="407">
        <f>IF(Z47&lt;=1,0,IF(Z47&gt;=0,(SUM(Z4+Z7+(Z18*0.5))/Z47)))</f>
      </c>
      <c r="AA54" s="407">
        <f>IF(AA47&lt;=1,0,IF(AA47&gt;=0,(SUM(AA4+AA7+(AA18*0.5))/AA47)))</f>
      </c>
      <c r="AB54" s="407">
        <f>IF(AB47&lt;=1,0,IF(AB47&gt;=0,(SUM(AB4+AB7+(AB18*0.5))/AB47)))</f>
      </c>
      <c r="AC54" s="407">
        <f>IF(AC47&lt;=1,0,IF(AC47&gt;=0,(SUM(AC4+AC7+(AC18*0.5))/AC47)))</f>
      </c>
      <c r="AD54" s="407">
        <f>IF(AD47&lt;=1,0,IF(AD47&gt;=0,(SUM(AD4+AD7+(AD18*0.5))/AD47)))</f>
      </c>
      <c r="AE54" s="407">
        <f>IF(AE47&lt;=1,0,IF(AE47&gt;=0,(SUM(AE4+AE7+(AE18*0.5))/AE47)))</f>
      </c>
      <c r="AF54" s="407">
        <f>IF(AF47&lt;=1,0,IF(AF47&gt;=0,(SUM(AF4+AF7+(AF18*0.5))/AF47)))</f>
      </c>
      <c r="AG54" s="407">
        <f>IF(AG47&lt;=1,0,IF(AG47&gt;=0,(SUM(AG4+AG7+(AG18*0.5))/AG47)))</f>
      </c>
      <c r="AH54" s="408">
        <f>IFERROR(AVERAGEIF(C54:AG54, "&lt;&gt;0"),)</f>
      </c>
      <c r="AI54" s="42"/>
      <c r="AJ54" s="406">
        <f>AH54</f>
      </c>
      <c r="AK54" s="326" t="s">
        <v>194</v>
      </c>
      <c r="AL54" s="93"/>
      <c r="AM54" s="93"/>
      <c r="AN54" s="277"/>
    </row>
    <row x14ac:dyDescent="0.25" r="55" customHeight="1" ht="18.75">
      <c r="A55" s="5"/>
      <c r="B55" s="74"/>
      <c r="C55" s="73"/>
      <c r="D55" s="277"/>
      <c r="E55" s="73"/>
      <c r="F55" s="277"/>
      <c r="G55" s="277"/>
      <c r="H55" s="277"/>
      <c r="I55" s="277"/>
      <c r="J55" s="277"/>
      <c r="K55" s="73"/>
      <c r="L55" s="73"/>
      <c r="M55" s="73"/>
      <c r="N55" s="277"/>
      <c r="O55" s="73"/>
      <c r="P55" s="277"/>
      <c r="Q55" s="277"/>
      <c r="R55" s="277"/>
      <c r="S55" s="73"/>
      <c r="T55" s="73"/>
      <c r="U55" s="73"/>
      <c r="V55" s="277"/>
      <c r="W55" s="277"/>
      <c r="X55" s="277"/>
      <c r="Y55" s="277"/>
      <c r="Z55" s="277"/>
      <c r="AA55" s="277"/>
      <c r="AB55" s="277"/>
      <c r="AC55" s="277"/>
      <c r="AD55" s="277"/>
      <c r="AE55" s="277"/>
      <c r="AF55" s="277"/>
      <c r="AG55" s="277"/>
      <c r="AH55" s="304"/>
      <c r="AI55" s="5"/>
      <c r="AJ55" s="304"/>
      <c r="AK55" s="5"/>
      <c r="AL55" s="93"/>
      <c r="AM55" s="93"/>
      <c r="AN55" s="277"/>
    </row>
    <row x14ac:dyDescent="0.25" r="56" customHeight="1" ht="18.75">
      <c r="A56" s="409"/>
      <c r="B56" s="410" t="s">
        <v>195</v>
      </c>
      <c r="C56" s="411"/>
      <c r="D56" s="412"/>
      <c r="E56" s="411"/>
      <c r="F56" s="412"/>
      <c r="G56" s="412"/>
      <c r="H56" s="412"/>
      <c r="I56" s="412"/>
      <c r="J56" s="412"/>
      <c r="K56" s="411"/>
      <c r="L56" s="411"/>
      <c r="M56" s="411"/>
      <c r="N56" s="412"/>
      <c r="O56" s="411"/>
      <c r="P56" s="412"/>
      <c r="Q56" s="412"/>
      <c r="R56" s="412"/>
      <c r="S56" s="411"/>
      <c r="T56" s="411"/>
      <c r="U56" s="411"/>
      <c r="V56" s="412"/>
      <c r="W56" s="412"/>
      <c r="X56" s="412"/>
      <c r="Y56" s="412"/>
      <c r="Z56" s="412"/>
      <c r="AA56" s="412"/>
      <c r="AB56" s="412"/>
      <c r="AC56" s="412"/>
      <c r="AD56" s="412"/>
      <c r="AE56" s="412"/>
      <c r="AF56" s="412"/>
      <c r="AG56" s="412"/>
      <c r="AH56" s="413" t="s">
        <v>196</v>
      </c>
      <c r="AI56" s="5"/>
      <c r="AJ56" s="414" t="s">
        <v>196</v>
      </c>
      <c r="AK56" s="415" t="s">
        <v>86</v>
      </c>
      <c r="AL56" s="93"/>
      <c r="AM56" s="93"/>
      <c r="AN56" s="277"/>
    </row>
    <row x14ac:dyDescent="0.25" r="57" customHeight="1" ht="18.75">
      <c r="A57" s="15"/>
      <c r="B57" s="416" t="s">
        <v>156</v>
      </c>
      <c r="C57" s="417"/>
      <c r="D57" s="418">
        <v>98</v>
      </c>
      <c r="E57" s="417"/>
      <c r="F57" s="418">
        <v>98</v>
      </c>
      <c r="G57" s="418">
        <v>98</v>
      </c>
      <c r="H57" s="418">
        <v>98</v>
      </c>
      <c r="I57" s="418">
        <v>98</v>
      </c>
      <c r="J57" s="418">
        <v>98</v>
      </c>
      <c r="K57" s="417"/>
      <c r="L57" s="417"/>
      <c r="M57" s="417"/>
      <c r="N57" s="419" t="s">
        <v>160</v>
      </c>
      <c r="O57" s="417"/>
      <c r="P57" s="418">
        <v>98</v>
      </c>
      <c r="Q57" s="418">
        <v>98</v>
      </c>
      <c r="R57" s="418">
        <v>97</v>
      </c>
      <c r="S57" s="417"/>
      <c r="T57" s="417"/>
      <c r="U57" s="417"/>
      <c r="V57" s="418">
        <v>97</v>
      </c>
      <c r="W57" s="418">
        <v>98</v>
      </c>
      <c r="X57" s="418">
        <v>98</v>
      </c>
      <c r="Y57" s="418">
        <v>98</v>
      </c>
      <c r="Z57" s="418">
        <v>105</v>
      </c>
      <c r="AA57" s="418">
        <v>99</v>
      </c>
      <c r="AB57" s="418">
        <v>99</v>
      </c>
      <c r="AC57" s="418">
        <v>98</v>
      </c>
      <c r="AD57" s="418">
        <v>98</v>
      </c>
      <c r="AE57" s="418">
        <v>98</v>
      </c>
      <c r="AF57" s="418">
        <v>98</v>
      </c>
      <c r="AG57" s="418">
        <v>104</v>
      </c>
      <c r="AH57" s="353">
        <f>IFERROR(AVERAGEIF(C57:AG57,"&lt;&gt;0"),)</f>
      </c>
      <c r="AI57" s="5"/>
      <c r="AJ57" s="420">
        <f>AH57</f>
      </c>
      <c r="AK57" s="421" t="s">
        <v>88</v>
      </c>
      <c r="AL57" s="93"/>
      <c r="AM57" s="93"/>
      <c r="AN57" s="277"/>
    </row>
    <row x14ac:dyDescent="0.25" r="58" customHeight="1" ht="18.75">
      <c r="A58" s="15"/>
      <c r="B58" s="416" t="s">
        <v>197</v>
      </c>
      <c r="C58" s="417"/>
      <c r="D58" s="419" t="s">
        <v>160</v>
      </c>
      <c r="E58" s="417"/>
      <c r="F58" s="419" t="s">
        <v>160</v>
      </c>
      <c r="G58" s="418">
        <v>90</v>
      </c>
      <c r="H58" s="419" t="s">
        <v>160</v>
      </c>
      <c r="I58" s="418">
        <v>89</v>
      </c>
      <c r="J58" s="418">
        <v>87</v>
      </c>
      <c r="K58" s="417"/>
      <c r="L58" s="417"/>
      <c r="M58" s="417"/>
      <c r="N58" s="419" t="s">
        <v>160</v>
      </c>
      <c r="O58" s="417"/>
      <c r="P58" s="418">
        <v>92</v>
      </c>
      <c r="Q58" s="418">
        <v>95</v>
      </c>
      <c r="R58" s="419" t="s">
        <v>160</v>
      </c>
      <c r="S58" s="417"/>
      <c r="T58" s="417"/>
      <c r="U58" s="417"/>
      <c r="V58" s="419" t="s">
        <v>160</v>
      </c>
      <c r="W58" s="418">
        <v>88</v>
      </c>
      <c r="X58" s="418">
        <v>91</v>
      </c>
      <c r="Y58" s="418">
        <v>92</v>
      </c>
      <c r="Z58" s="418">
        <v>93</v>
      </c>
      <c r="AA58" s="418">
        <v>86</v>
      </c>
      <c r="AB58" s="418">
        <v>92</v>
      </c>
      <c r="AC58" s="418">
        <v>94</v>
      </c>
      <c r="AD58" s="418">
        <v>91</v>
      </c>
      <c r="AE58" s="418">
        <v>88</v>
      </c>
      <c r="AF58" s="418">
        <v>86</v>
      </c>
      <c r="AG58" s="418">
        <v>91</v>
      </c>
      <c r="AH58" s="353">
        <f>IFERROR(AVERAGEIF(C58:AG58,"&lt;&gt;0"),)</f>
      </c>
      <c r="AI58" s="5"/>
      <c r="AJ58" s="157">
        <f>AH58</f>
      </c>
      <c r="AK58" s="156" t="s">
        <v>89</v>
      </c>
      <c r="AL58" s="93"/>
      <c r="AM58" s="93"/>
      <c r="AN58" s="277"/>
    </row>
    <row x14ac:dyDescent="0.25" r="59" customHeight="1" ht="18.75">
      <c r="A59" s="15"/>
      <c r="B59" s="416" t="s">
        <v>158</v>
      </c>
      <c r="C59" s="108"/>
      <c r="D59" s="418">
        <v>80</v>
      </c>
      <c r="E59" s="108"/>
      <c r="F59" s="418">
        <v>77</v>
      </c>
      <c r="G59" s="418">
        <v>80</v>
      </c>
      <c r="H59" s="418">
        <v>84</v>
      </c>
      <c r="I59" s="418">
        <v>85</v>
      </c>
      <c r="J59" s="418">
        <v>83</v>
      </c>
      <c r="K59" s="108"/>
      <c r="L59" s="108"/>
      <c r="M59" s="108"/>
      <c r="N59" s="418">
        <v>80</v>
      </c>
      <c r="O59" s="108"/>
      <c r="P59" s="418">
        <v>81</v>
      </c>
      <c r="Q59" s="418">
        <v>85</v>
      </c>
      <c r="R59" s="418">
        <v>85</v>
      </c>
      <c r="S59" s="108"/>
      <c r="T59" s="108"/>
      <c r="U59" s="108"/>
      <c r="V59" s="418">
        <v>84</v>
      </c>
      <c r="W59" s="418">
        <v>81</v>
      </c>
      <c r="X59" s="418">
        <v>83</v>
      </c>
      <c r="Y59" s="418">
        <v>83</v>
      </c>
      <c r="Z59" s="418">
        <v>80</v>
      </c>
      <c r="AA59" s="418">
        <v>79</v>
      </c>
      <c r="AB59" s="418">
        <v>85</v>
      </c>
      <c r="AC59" s="418">
        <v>85</v>
      </c>
      <c r="AD59" s="418">
        <v>85</v>
      </c>
      <c r="AE59" s="418">
        <v>84</v>
      </c>
      <c r="AF59" s="418">
        <v>80</v>
      </c>
      <c r="AG59" s="418">
        <v>80</v>
      </c>
      <c r="AH59" s="353">
        <f>IFERROR(AVERAGEIF(C59:AG59,"&lt;&gt;0"),)</f>
      </c>
      <c r="AI59" s="5"/>
      <c r="AJ59" s="157">
        <f>AH59</f>
      </c>
      <c r="AK59" s="156" t="s">
        <v>90</v>
      </c>
      <c r="AL59" s="93"/>
      <c r="AM59" s="93"/>
      <c r="AN59" s="277"/>
    </row>
    <row x14ac:dyDescent="0.25" r="60" customHeight="1" ht="18.75">
      <c r="A60" s="23"/>
      <c r="B60" s="422" t="s">
        <v>198</v>
      </c>
      <c r="C60" s="423"/>
      <c r="D60" s="423"/>
      <c r="E60" s="423"/>
      <c r="F60" s="423"/>
      <c r="G60" s="423"/>
      <c r="H60" s="423"/>
      <c r="I60" s="423"/>
      <c r="J60" s="423"/>
      <c r="K60" s="423"/>
      <c r="L60" s="423"/>
      <c r="M60" s="423"/>
      <c r="N60" s="423"/>
      <c r="O60" s="423"/>
      <c r="P60" s="423"/>
      <c r="Q60" s="423"/>
      <c r="R60" s="423"/>
      <c r="S60" s="423"/>
      <c r="T60" s="423"/>
      <c r="U60" s="423"/>
      <c r="V60" s="423"/>
      <c r="W60" s="423"/>
      <c r="X60" s="423"/>
      <c r="Y60" s="423"/>
      <c r="Z60" s="423"/>
      <c r="AA60" s="423"/>
      <c r="AB60" s="423"/>
      <c r="AC60" s="423"/>
      <c r="AD60" s="423"/>
      <c r="AE60" s="423"/>
      <c r="AF60" s="423"/>
      <c r="AG60" s="423"/>
      <c r="AH60" s="424">
        <f>IFERROR(AVERAGEIF(C60:AG60,"&lt;&gt;0"),)</f>
      </c>
      <c r="AI60" s="5"/>
      <c r="AJ60" s="425">
        <f>AH60</f>
      </c>
      <c r="AK60" s="173" t="s">
        <v>199</v>
      </c>
      <c r="AL60" s="93"/>
      <c r="AM60" s="93"/>
      <c r="AN60" s="277"/>
    </row>
  </sheetData>
  <mergeCells count="3">
    <mergeCell ref="AJ31:AM31"/>
    <mergeCell ref="AJ39:AK39"/>
    <mergeCell ref="AL39:A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2"/>
  <sheetViews>
    <sheetView workbookViewId="0"/>
  </sheetViews>
  <sheetFormatPr defaultRowHeight="15" x14ac:dyDescent="0.25"/>
  <cols>
    <col min="1" max="1" style="299" width="8.147857142857141" customWidth="1" bestFit="1"/>
    <col min="2" max="2" style="67" width="4.005" customWidth="1" bestFit="1"/>
    <col min="3" max="3" style="90" width="11.005" customWidth="1" bestFit="1"/>
    <col min="4" max="4" style="89" width="10.005" customWidth="1" bestFit="1"/>
    <col min="5" max="5" style="90" width="10.005" customWidth="1" bestFit="1"/>
    <col min="6" max="6" style="90" width="10.005" customWidth="1" bestFit="1"/>
    <col min="7" max="7" style="90" width="9.005" customWidth="1" bestFit="1"/>
    <col min="8" max="8" style="90" width="10.005" customWidth="1" bestFit="1"/>
    <col min="9" max="9" style="90" width="10.005" customWidth="1" bestFit="1"/>
    <col min="10" max="10" style="67" width="1.719285714285714" customWidth="1" bestFit="1"/>
    <col min="11" max="11" style="300" width="4.005" customWidth="1" bestFit="1"/>
    <col min="12" max="12" style="300" width="3.7192857142857143" customWidth="1" bestFit="1"/>
    <col min="13" max="13" style="300" width="3.7192857142857143" customWidth="1" bestFit="1"/>
    <col min="14" max="14" style="67" width="1.719285714285714" customWidth="1" bestFit="1"/>
    <col min="15" max="15" style="301" width="6.005" customWidth="1" bestFit="1"/>
  </cols>
  <sheetData>
    <row x14ac:dyDescent="0.25" r="1" customHeight="1" ht="84.75">
      <c r="A1" s="240"/>
      <c r="B1" s="241"/>
      <c r="C1" s="242" t="s">
        <v>153</v>
      </c>
      <c r="D1" s="243" t="s">
        <v>6</v>
      </c>
      <c r="E1" s="244" t="s">
        <v>15</v>
      </c>
      <c r="F1" s="244" t="s">
        <v>154</v>
      </c>
      <c r="G1" s="244" t="s">
        <v>19</v>
      </c>
      <c r="H1" s="244" t="s">
        <v>155</v>
      </c>
      <c r="I1" s="244" t="s">
        <v>28</v>
      </c>
      <c r="J1" s="245"/>
      <c r="K1" s="246" t="s">
        <v>156</v>
      </c>
      <c r="L1" s="246" t="s">
        <v>157</v>
      </c>
      <c r="M1" s="246" t="s">
        <v>158</v>
      </c>
      <c r="N1" s="245"/>
      <c r="O1" s="247" t="s">
        <v>159</v>
      </c>
    </row>
    <row x14ac:dyDescent="0.25" r="2" customHeight="1" ht="18.75">
      <c r="A2" s="248">
        <f>'Cash Flow'!A8</f>
        <v>25568.708333333332</v>
      </c>
      <c r="B2" s="249">
        <f>TEXT(A2,"ddd")</f>
      </c>
      <c r="C2" s="250">
        <f>TRANSPOSE(Pool!C4:AG4)+TRANSPOSE(Pool!C18:AG18*0.5)</f>
      </c>
      <c r="D2" s="250">
        <f>TRANSPOSE(Pool!C6:AG6)</f>
      </c>
      <c r="E2" s="250">
        <f>TRANSPOSE(Pool!C14:AG14)</f>
      </c>
      <c r="F2" s="250">
        <f>TRANSPOSE(Pool!C15:AG15)</f>
      </c>
      <c r="G2" s="250">
        <f>TRANSPOSE(Pool!C16:AG16)</f>
      </c>
      <c r="H2" s="250">
        <f>TRANSPOSE(Pool!C17:AG17)+TRANSPOSE(Pool!C18:AG18*0.5)</f>
      </c>
      <c r="I2" s="251">
        <f>TRANSPOSE(Pool!C21:AG21)</f>
      </c>
      <c r="J2" s="252"/>
      <c r="K2" s="253">
        <f>TRANSPOSE(Pool!C57:AG57)</f>
      </c>
      <c r="L2" s="254">
        <f>TRANSPOSE(Pool!C58:AG58)</f>
      </c>
      <c r="M2" s="255">
        <f>TRANSPOSE(Pool!C59:AG59)</f>
      </c>
      <c r="N2" s="252"/>
      <c r="O2" s="256">
        <f>TRANSPOSE(Pool!C50:AG50)</f>
      </c>
    </row>
    <row x14ac:dyDescent="0.25" r="3" customHeight="1" ht="18.75">
      <c r="A3" s="257">
        <f>SUM(A2+1)</f>
        <v>25568.708333333332</v>
      </c>
      <c r="B3" s="258">
        <f>TEXT(A3,"ddd")</f>
      </c>
      <c r="C3" s="259">
        <v>1013.2</v>
      </c>
      <c r="D3" s="259">
        <v>0</v>
      </c>
      <c r="E3" s="259">
        <v>44</v>
      </c>
      <c r="F3" s="259">
        <v>83.63</v>
      </c>
      <c r="G3" s="259">
        <v>0</v>
      </c>
      <c r="H3" s="259">
        <v>305</v>
      </c>
      <c r="I3" s="260">
        <v>0</v>
      </c>
      <c r="J3" s="252"/>
      <c r="K3" s="261">
        <v>98</v>
      </c>
      <c r="L3" s="262" t="s">
        <v>160</v>
      </c>
      <c r="M3" s="263">
        <v>80</v>
      </c>
      <c r="N3" s="252"/>
      <c r="O3" s="264">
        <v>119</v>
      </c>
    </row>
    <row x14ac:dyDescent="0.25" r="4" customHeight="1" ht="18.75">
      <c r="A4" s="257">
        <f>SUM(A3+1)</f>
        <v>25568.708333333332</v>
      </c>
      <c r="B4" s="258">
        <f>TEXT(A4,"0")</f>
      </c>
      <c r="C4" s="259">
        <v>0</v>
      </c>
      <c r="D4" s="259">
        <v>0</v>
      </c>
      <c r="E4" s="259">
        <v>0</v>
      </c>
      <c r="F4" s="259">
        <v>0</v>
      </c>
      <c r="G4" s="259">
        <v>0</v>
      </c>
      <c r="H4" s="259">
        <v>145</v>
      </c>
      <c r="I4" s="260">
        <v>0</v>
      </c>
      <c r="J4" s="252"/>
      <c r="K4" s="261">
        <v>0</v>
      </c>
      <c r="L4" s="265">
        <v>0</v>
      </c>
      <c r="M4" s="263">
        <v>0</v>
      </c>
      <c r="N4" s="252"/>
      <c r="O4" s="264">
        <v>2</v>
      </c>
    </row>
    <row x14ac:dyDescent="0.25" r="5" customHeight="1" ht="18.75">
      <c r="A5" s="257">
        <f>SUM(A4+1)</f>
        <v>25568.708333333332</v>
      </c>
      <c r="B5" s="258">
        <f>TEXT(A5,"ddd")</f>
      </c>
      <c r="C5" s="259">
        <v>928</v>
      </c>
      <c r="D5" s="259">
        <v>0</v>
      </c>
      <c r="E5" s="259">
        <v>4</v>
      </c>
      <c r="F5" s="259">
        <v>83.62</v>
      </c>
      <c r="G5" s="259">
        <v>0</v>
      </c>
      <c r="H5" s="259">
        <v>250</v>
      </c>
      <c r="I5" s="260">
        <v>0</v>
      </c>
      <c r="J5" s="252"/>
      <c r="K5" s="261">
        <v>98</v>
      </c>
      <c r="L5" s="262" t="s">
        <v>160</v>
      </c>
      <c r="M5" s="263">
        <v>77</v>
      </c>
      <c r="N5" s="252"/>
      <c r="O5" s="264">
        <v>103</v>
      </c>
    </row>
    <row x14ac:dyDescent="0.25" r="6" customHeight="1" ht="18.75">
      <c r="A6" s="257">
        <f>SUM(A5+1)</f>
        <v>25568.708333333332</v>
      </c>
      <c r="B6" s="258">
        <f>TEXT(A6,"0")</f>
      </c>
      <c r="C6" s="259">
        <v>939.2</v>
      </c>
      <c r="D6" s="259">
        <v>0</v>
      </c>
      <c r="E6" s="259">
        <v>10</v>
      </c>
      <c r="F6" s="259">
        <v>108.07</v>
      </c>
      <c r="G6" s="259">
        <v>0</v>
      </c>
      <c r="H6" s="259">
        <v>137.5</v>
      </c>
      <c r="I6" s="260">
        <v>0</v>
      </c>
      <c r="J6" s="252"/>
      <c r="K6" s="261">
        <v>98</v>
      </c>
      <c r="L6" s="265">
        <v>90</v>
      </c>
      <c r="M6" s="263">
        <v>80</v>
      </c>
      <c r="N6" s="252"/>
      <c r="O6" s="264">
        <v>151</v>
      </c>
    </row>
    <row x14ac:dyDescent="0.25" r="7" customHeight="1" ht="18.75">
      <c r="A7" s="257">
        <f>SUM(A6+1)</f>
        <v>25568.708333333332</v>
      </c>
      <c r="B7" s="258">
        <f>TEXT(A7,"ddd")</f>
      </c>
      <c r="C7" s="259">
        <v>1675.2</v>
      </c>
      <c r="D7" s="259">
        <v>0</v>
      </c>
      <c r="E7" s="259">
        <v>19</v>
      </c>
      <c r="F7" s="259">
        <v>208.6</v>
      </c>
      <c r="G7" s="259">
        <v>0</v>
      </c>
      <c r="H7" s="259">
        <v>165</v>
      </c>
      <c r="I7" s="260">
        <v>0</v>
      </c>
      <c r="J7" s="252"/>
      <c r="K7" s="261">
        <v>98</v>
      </c>
      <c r="L7" s="262" t="s">
        <v>160</v>
      </c>
      <c r="M7" s="263">
        <v>84</v>
      </c>
      <c r="N7" s="252"/>
      <c r="O7" s="264">
        <v>214</v>
      </c>
    </row>
    <row x14ac:dyDescent="0.25" r="8" customHeight="1" ht="18.75">
      <c r="A8" s="257">
        <f>SUM(A7+1)</f>
        <v>25568.708333333332</v>
      </c>
      <c r="B8" s="258">
        <f>TEXT(A8,"0")</f>
      </c>
      <c r="C8" s="259">
        <v>5612.4</v>
      </c>
      <c r="D8" s="259">
        <v>0</v>
      </c>
      <c r="E8" s="259">
        <v>0</v>
      </c>
      <c r="F8" s="259">
        <v>470.5</v>
      </c>
      <c r="G8" s="259">
        <v>0</v>
      </c>
      <c r="H8" s="259">
        <v>52.5</v>
      </c>
      <c r="I8" s="260">
        <v>0</v>
      </c>
      <c r="J8" s="252"/>
      <c r="K8" s="261">
        <v>98</v>
      </c>
      <c r="L8" s="265">
        <v>89</v>
      </c>
      <c r="M8" s="263">
        <v>85</v>
      </c>
      <c r="N8" s="252"/>
      <c r="O8" s="264">
        <v>464</v>
      </c>
    </row>
    <row x14ac:dyDescent="0.25" r="9" customHeight="1" ht="18.75">
      <c r="A9" s="257">
        <f>SUM(A8+1)</f>
        <v>25568.708333333332</v>
      </c>
      <c r="B9" s="258">
        <f>TEXT(A9,"ddd")</f>
      </c>
      <c r="C9" s="259">
        <v>3467.6</v>
      </c>
      <c r="D9" s="259">
        <v>0</v>
      </c>
      <c r="E9" s="259">
        <v>4</v>
      </c>
      <c r="F9" s="259">
        <v>537.83</v>
      </c>
      <c r="G9" s="259">
        <v>0</v>
      </c>
      <c r="H9" s="259">
        <v>0</v>
      </c>
      <c r="I9" s="260">
        <v>0</v>
      </c>
      <c r="J9" s="252"/>
      <c r="K9" s="261">
        <v>98</v>
      </c>
      <c r="L9" s="265">
        <v>87</v>
      </c>
      <c r="M9" s="263">
        <v>83</v>
      </c>
      <c r="N9" s="252"/>
      <c r="O9" s="264">
        <v>326</v>
      </c>
    </row>
    <row x14ac:dyDescent="0.25" r="10" customHeight="1" ht="18.75">
      <c r="A10" s="257">
        <f>SUM(A9+1)</f>
        <v>25568.708333333332</v>
      </c>
      <c r="B10" s="258">
        <f>TEXT(A10,"0")</f>
      </c>
      <c r="C10" s="259">
        <v>517</v>
      </c>
      <c r="D10" s="259">
        <v>0</v>
      </c>
      <c r="E10" s="259">
        <v>44</v>
      </c>
      <c r="F10" s="259">
        <v>58.06</v>
      </c>
      <c r="G10" s="259">
        <v>0</v>
      </c>
      <c r="H10" s="259">
        <v>135</v>
      </c>
      <c r="I10" s="260">
        <v>0</v>
      </c>
      <c r="J10" s="252"/>
      <c r="K10" s="261">
        <v>0</v>
      </c>
      <c r="L10" s="265">
        <v>0</v>
      </c>
      <c r="M10" s="263">
        <v>0</v>
      </c>
      <c r="N10" s="252"/>
      <c r="O10" s="264">
        <v>84</v>
      </c>
    </row>
    <row x14ac:dyDescent="0.25" r="11" customHeight="1" ht="18.75">
      <c r="A11" s="257">
        <f>SUM(A10+1)</f>
        <v>25568.708333333332</v>
      </c>
      <c r="B11" s="258">
        <f>TEXT(A11,"ddd")</f>
      </c>
      <c r="C11" s="259">
        <v>0</v>
      </c>
      <c r="D11" s="259">
        <v>0</v>
      </c>
      <c r="E11" s="259">
        <v>0</v>
      </c>
      <c r="F11" s="259">
        <v>0</v>
      </c>
      <c r="G11" s="259">
        <v>0</v>
      </c>
      <c r="H11" s="259">
        <v>0</v>
      </c>
      <c r="I11" s="260">
        <v>0</v>
      </c>
      <c r="J11" s="252"/>
      <c r="K11" s="261">
        <v>0</v>
      </c>
      <c r="L11" s="265">
        <v>0</v>
      </c>
      <c r="M11" s="263">
        <v>0</v>
      </c>
      <c r="N11" s="252"/>
      <c r="O11" s="264">
        <v>0</v>
      </c>
    </row>
    <row x14ac:dyDescent="0.25" r="12" customHeight="1" ht="18.75">
      <c r="A12" s="257">
        <f>SUM(A11+1)</f>
        <v>25568.708333333332</v>
      </c>
      <c r="B12" s="258">
        <f>TEXT(A12,"0")</f>
      </c>
      <c r="C12" s="259">
        <v>1626</v>
      </c>
      <c r="D12" s="259">
        <v>0</v>
      </c>
      <c r="E12" s="259">
        <v>8</v>
      </c>
      <c r="F12" s="259">
        <v>148.79</v>
      </c>
      <c r="G12" s="259">
        <v>0</v>
      </c>
      <c r="H12" s="259">
        <v>0</v>
      </c>
      <c r="I12" s="260">
        <v>0</v>
      </c>
      <c r="J12" s="252"/>
      <c r="K12" s="261">
        <v>0</v>
      </c>
      <c r="L12" s="265">
        <v>0</v>
      </c>
      <c r="M12" s="263">
        <v>0</v>
      </c>
      <c r="N12" s="252"/>
      <c r="O12" s="264">
        <v>179</v>
      </c>
    </row>
    <row x14ac:dyDescent="0.25" r="13" customHeight="1" ht="18.75">
      <c r="A13" s="257">
        <f>SUM(A12+1)</f>
        <v>25568.708333333332</v>
      </c>
      <c r="B13" s="258">
        <f>TEXT(A13,"ddd")</f>
      </c>
      <c r="C13" s="259">
        <v>1032.8</v>
      </c>
      <c r="D13" s="259">
        <v>0</v>
      </c>
      <c r="E13" s="259">
        <v>20</v>
      </c>
      <c r="F13" s="259">
        <v>74.06</v>
      </c>
      <c r="G13" s="259">
        <v>0</v>
      </c>
      <c r="H13" s="259">
        <v>0</v>
      </c>
      <c r="I13" s="260">
        <v>0</v>
      </c>
      <c r="J13" s="252"/>
      <c r="K13" s="266" t="s">
        <v>160</v>
      </c>
      <c r="L13" s="262" t="s">
        <v>160</v>
      </c>
      <c r="M13" s="263">
        <v>80</v>
      </c>
      <c r="N13" s="252"/>
      <c r="O13" s="264">
        <v>154</v>
      </c>
    </row>
    <row x14ac:dyDescent="0.25" r="14" customHeight="1" ht="18.75">
      <c r="A14" s="257">
        <f>SUM(A13+1)</f>
        <v>25568.708333333332</v>
      </c>
      <c r="B14" s="258">
        <f>TEXT(A14,"0")</f>
      </c>
      <c r="C14" s="259">
        <v>2938.8</v>
      </c>
      <c r="D14" s="259">
        <v>0</v>
      </c>
      <c r="E14" s="259">
        <v>32</v>
      </c>
      <c r="F14" s="259">
        <v>380.98</v>
      </c>
      <c r="G14" s="259">
        <v>0</v>
      </c>
      <c r="H14" s="259">
        <v>80</v>
      </c>
      <c r="I14" s="260">
        <v>0</v>
      </c>
      <c r="J14" s="252"/>
      <c r="K14" s="261">
        <v>0</v>
      </c>
      <c r="L14" s="265">
        <v>0</v>
      </c>
      <c r="M14" s="263">
        <v>0</v>
      </c>
      <c r="N14" s="252"/>
      <c r="O14" s="264">
        <v>293</v>
      </c>
    </row>
    <row x14ac:dyDescent="0.25" r="15" customHeight="1" ht="18.75">
      <c r="A15" s="257">
        <f>SUM(A14+1)</f>
        <v>25568.708333333332</v>
      </c>
      <c r="B15" s="258">
        <f>TEXT(A15,"ddd")</f>
      </c>
      <c r="C15" s="259">
        <v>5480.4</v>
      </c>
      <c r="D15" s="259">
        <v>0</v>
      </c>
      <c r="E15" s="259">
        <v>0</v>
      </c>
      <c r="F15" s="259">
        <v>550.39</v>
      </c>
      <c r="G15" s="259">
        <v>0</v>
      </c>
      <c r="H15" s="259">
        <v>82.5</v>
      </c>
      <c r="I15" s="260">
        <v>0</v>
      </c>
      <c r="J15" s="252"/>
      <c r="K15" s="261">
        <v>98</v>
      </c>
      <c r="L15" s="265">
        <v>92</v>
      </c>
      <c r="M15" s="263">
        <v>81</v>
      </c>
      <c r="N15" s="252"/>
      <c r="O15" s="264">
        <v>439</v>
      </c>
    </row>
    <row x14ac:dyDescent="0.25" r="16" customHeight="1" ht="18.75">
      <c r="A16" s="257">
        <f>SUM(A15+1)</f>
        <v>25568.708333333332</v>
      </c>
      <c r="B16" s="258">
        <f>TEXT(A16,"0")</f>
      </c>
      <c r="C16" s="259">
        <v>5078.4</v>
      </c>
      <c r="D16" s="259">
        <v>0</v>
      </c>
      <c r="E16" s="259">
        <v>20</v>
      </c>
      <c r="F16" s="259">
        <v>492.03</v>
      </c>
      <c r="G16" s="259">
        <v>0</v>
      </c>
      <c r="H16" s="259">
        <v>97.5</v>
      </c>
      <c r="I16" s="260">
        <v>0</v>
      </c>
      <c r="J16" s="252"/>
      <c r="K16" s="261">
        <v>98</v>
      </c>
      <c r="L16" s="265">
        <v>95</v>
      </c>
      <c r="M16" s="263">
        <v>85</v>
      </c>
      <c r="N16" s="252"/>
      <c r="O16" s="264">
        <v>498</v>
      </c>
    </row>
    <row x14ac:dyDescent="0.25" r="17" customHeight="1" ht="18.75">
      <c r="A17" s="257">
        <f>SUM(A16+1)</f>
        <v>25568.708333333332</v>
      </c>
      <c r="B17" s="258">
        <f>TEXT(A17,"ddd")</f>
      </c>
      <c r="C17" s="259">
        <v>1739.2</v>
      </c>
      <c r="D17" s="259">
        <v>0</v>
      </c>
      <c r="E17" s="259">
        <v>4</v>
      </c>
      <c r="F17" s="259">
        <v>106.13</v>
      </c>
      <c r="G17" s="259">
        <v>0</v>
      </c>
      <c r="H17" s="259">
        <v>295</v>
      </c>
      <c r="I17" s="260">
        <v>0</v>
      </c>
      <c r="J17" s="252"/>
      <c r="K17" s="261">
        <v>97</v>
      </c>
      <c r="L17" s="262" t="s">
        <v>160</v>
      </c>
      <c r="M17" s="263">
        <v>85</v>
      </c>
      <c r="N17" s="252"/>
      <c r="O17" s="264">
        <v>169</v>
      </c>
    </row>
    <row x14ac:dyDescent="0.25" r="18" customHeight="1" ht="18.75">
      <c r="A18" s="257">
        <f>SUM(A17+1)</f>
        <v>25568.708333333332</v>
      </c>
      <c r="B18" s="258">
        <f>TEXT(A18,"0")</f>
      </c>
      <c r="C18" s="259">
        <v>0</v>
      </c>
      <c r="D18" s="259">
        <v>0</v>
      </c>
      <c r="E18" s="259">
        <v>0</v>
      </c>
      <c r="F18" s="259">
        <v>0</v>
      </c>
      <c r="G18" s="259">
        <v>0</v>
      </c>
      <c r="H18" s="259">
        <v>0</v>
      </c>
      <c r="I18" s="260">
        <v>0</v>
      </c>
      <c r="J18" s="252"/>
      <c r="K18" s="261">
        <v>0</v>
      </c>
      <c r="L18" s="265">
        <v>0</v>
      </c>
      <c r="M18" s="263">
        <v>0</v>
      </c>
      <c r="N18" s="252"/>
      <c r="O18" s="264">
        <v>0</v>
      </c>
    </row>
    <row x14ac:dyDescent="0.25" r="19" customHeight="1" ht="18.75">
      <c r="A19" s="257">
        <f>SUM(A18+1)</f>
        <v>25568.708333333332</v>
      </c>
      <c r="B19" s="258">
        <f>TEXT(A19,"ddd")</f>
      </c>
      <c r="C19" s="259">
        <v>2076.4</v>
      </c>
      <c r="D19" s="259">
        <v>0</v>
      </c>
      <c r="E19" s="259">
        <v>4</v>
      </c>
      <c r="F19" s="259">
        <v>159.42</v>
      </c>
      <c r="G19" s="259">
        <v>0</v>
      </c>
      <c r="H19" s="259">
        <v>32</v>
      </c>
      <c r="I19" s="260">
        <v>0</v>
      </c>
      <c r="J19" s="252"/>
      <c r="K19" s="261">
        <v>0</v>
      </c>
      <c r="L19" s="265">
        <v>0</v>
      </c>
      <c r="M19" s="263">
        <v>0</v>
      </c>
      <c r="N19" s="252"/>
      <c r="O19" s="264">
        <v>212</v>
      </c>
    </row>
    <row x14ac:dyDescent="0.25" r="20" customHeight="1" ht="18.75">
      <c r="A20" s="257">
        <f>SUM(A19+1)</f>
        <v>25568.708333333332</v>
      </c>
      <c r="B20" s="258">
        <f>TEXT(A20,"0")</f>
      </c>
      <c r="C20" s="259">
        <v>1958.8</v>
      </c>
      <c r="D20" s="259">
        <v>0</v>
      </c>
      <c r="E20" s="259">
        <v>12</v>
      </c>
      <c r="F20" s="259">
        <v>139.17</v>
      </c>
      <c r="G20" s="259">
        <v>0</v>
      </c>
      <c r="H20" s="259">
        <v>16</v>
      </c>
      <c r="I20" s="260">
        <v>0</v>
      </c>
      <c r="J20" s="252"/>
      <c r="K20" s="261">
        <v>0</v>
      </c>
      <c r="L20" s="265">
        <v>0</v>
      </c>
      <c r="M20" s="263">
        <v>0</v>
      </c>
      <c r="N20" s="252"/>
      <c r="O20" s="264">
        <v>183</v>
      </c>
    </row>
    <row x14ac:dyDescent="0.25" r="21" customHeight="1" ht="18.75">
      <c r="A21" s="257">
        <f>SUM(A20+1)</f>
        <v>25568.708333333332</v>
      </c>
      <c r="B21" s="258">
        <f>TEXT(A21,"ddd")</f>
      </c>
      <c r="C21" s="259">
        <v>3153.2000000000003</v>
      </c>
      <c r="D21" s="259">
        <v>0</v>
      </c>
      <c r="E21" s="259">
        <v>0</v>
      </c>
      <c r="F21" s="259">
        <v>213.51</v>
      </c>
      <c r="G21" s="259">
        <v>0</v>
      </c>
      <c r="H21" s="259">
        <v>115</v>
      </c>
      <c r="I21" s="260">
        <v>0</v>
      </c>
      <c r="J21" s="252"/>
      <c r="K21" s="261">
        <v>97</v>
      </c>
      <c r="L21" s="262" t="s">
        <v>160</v>
      </c>
      <c r="M21" s="263">
        <v>84</v>
      </c>
      <c r="N21" s="252"/>
      <c r="O21" s="264">
        <v>270</v>
      </c>
    </row>
    <row x14ac:dyDescent="0.25" r="22" customHeight="1" ht="18.75">
      <c r="A22" s="257">
        <f>SUM(A21+1)</f>
        <v>25568.708333333332</v>
      </c>
      <c r="B22" s="258">
        <f>TEXT(A22,"0")</f>
      </c>
      <c r="C22" s="259">
        <v>4733.2</v>
      </c>
      <c r="D22" s="259">
        <v>0</v>
      </c>
      <c r="E22" s="259">
        <v>8</v>
      </c>
      <c r="F22" s="259">
        <v>393.3</v>
      </c>
      <c r="G22" s="259">
        <v>0</v>
      </c>
      <c r="H22" s="259">
        <v>173.5</v>
      </c>
      <c r="I22" s="260">
        <v>0</v>
      </c>
      <c r="J22" s="252"/>
      <c r="K22" s="261">
        <v>98</v>
      </c>
      <c r="L22" s="265">
        <v>88</v>
      </c>
      <c r="M22" s="263">
        <v>81</v>
      </c>
      <c r="N22" s="252"/>
      <c r="O22" s="264">
        <v>421</v>
      </c>
    </row>
    <row x14ac:dyDescent="0.25" r="23" customHeight="1" ht="18.75">
      <c r="A23" s="257">
        <f>SUM(A22+1)</f>
        <v>25568.708333333332</v>
      </c>
      <c r="B23" s="258">
        <f>TEXT(A23,"ddd")</f>
      </c>
      <c r="C23" s="259">
        <v>4517.2</v>
      </c>
      <c r="D23" s="259">
        <v>0</v>
      </c>
      <c r="E23" s="259">
        <v>16</v>
      </c>
      <c r="F23" s="259">
        <v>531.94</v>
      </c>
      <c r="G23" s="259">
        <v>0</v>
      </c>
      <c r="H23" s="259">
        <v>142</v>
      </c>
      <c r="I23" s="260">
        <v>0</v>
      </c>
      <c r="J23" s="252"/>
      <c r="K23" s="261">
        <v>98</v>
      </c>
      <c r="L23" s="265">
        <v>91</v>
      </c>
      <c r="M23" s="263">
        <v>83</v>
      </c>
      <c r="N23" s="252"/>
      <c r="O23" s="264">
        <v>436</v>
      </c>
    </row>
    <row x14ac:dyDescent="0.25" r="24" customHeight="1" ht="18.75">
      <c r="A24" s="257">
        <f>SUM(A23+1)</f>
        <v>25568.708333333332</v>
      </c>
      <c r="B24" s="258">
        <f>TEXT(A24,"0")</f>
      </c>
      <c r="C24" s="259">
        <v>2264.8</v>
      </c>
      <c r="D24" s="259">
        <v>0</v>
      </c>
      <c r="E24" s="259">
        <v>12</v>
      </c>
      <c r="F24" s="259">
        <v>162.41</v>
      </c>
      <c r="G24" s="259">
        <v>0</v>
      </c>
      <c r="H24" s="259">
        <v>0</v>
      </c>
      <c r="I24" s="260">
        <v>0</v>
      </c>
      <c r="J24" s="252"/>
      <c r="K24" s="261">
        <v>98</v>
      </c>
      <c r="L24" s="265">
        <v>92</v>
      </c>
      <c r="M24" s="263">
        <v>83</v>
      </c>
      <c r="N24" s="252"/>
      <c r="O24" s="264">
        <v>233</v>
      </c>
    </row>
    <row x14ac:dyDescent="0.25" r="25" customHeight="1" ht="18.75">
      <c r="A25" s="257">
        <f>SUM(A24+1)</f>
        <v>25568.708333333332</v>
      </c>
      <c r="B25" s="258">
        <f>TEXT(A25,"ddd")</f>
      </c>
      <c r="C25" s="259">
        <v>2520</v>
      </c>
      <c r="D25" s="259">
        <v>0</v>
      </c>
      <c r="E25" s="259">
        <v>100</v>
      </c>
      <c r="F25" s="259">
        <v>215.08</v>
      </c>
      <c r="G25" s="259">
        <v>0</v>
      </c>
      <c r="H25" s="259">
        <v>84.5</v>
      </c>
      <c r="I25" s="260">
        <v>0</v>
      </c>
      <c r="J25" s="252"/>
      <c r="K25" s="261">
        <v>105</v>
      </c>
      <c r="L25" s="265">
        <v>93</v>
      </c>
      <c r="M25" s="263">
        <v>80</v>
      </c>
      <c r="N25" s="252"/>
      <c r="O25" s="264">
        <v>249</v>
      </c>
    </row>
    <row x14ac:dyDescent="0.25" r="26" customHeight="1" ht="18.75">
      <c r="A26" s="257">
        <f>SUM(A25+1)</f>
        <v>25568.708333333332</v>
      </c>
      <c r="B26" s="258">
        <f>TEXT(A26,"0")</f>
      </c>
      <c r="C26" s="259">
        <v>3391.6000000000004</v>
      </c>
      <c r="D26" s="259">
        <v>0</v>
      </c>
      <c r="E26" s="259">
        <v>4</v>
      </c>
      <c r="F26" s="259">
        <v>403.65</v>
      </c>
      <c r="G26" s="259">
        <v>0</v>
      </c>
      <c r="H26" s="259">
        <v>608</v>
      </c>
      <c r="I26" s="260">
        <v>0</v>
      </c>
      <c r="J26" s="252"/>
      <c r="K26" s="261">
        <v>99</v>
      </c>
      <c r="L26" s="265">
        <v>86</v>
      </c>
      <c r="M26" s="263">
        <v>79</v>
      </c>
      <c r="N26" s="252"/>
      <c r="O26" s="264">
        <v>327</v>
      </c>
    </row>
    <row x14ac:dyDescent="0.25" r="27" customHeight="1" ht="18.75">
      <c r="A27" s="257">
        <f>SUM(A26+1)</f>
        <v>25568.708333333332</v>
      </c>
      <c r="B27" s="258">
        <f>TEXT(A27,"ddd")</f>
      </c>
      <c r="C27" s="259">
        <v>3108.4</v>
      </c>
      <c r="D27" s="259">
        <v>0</v>
      </c>
      <c r="E27" s="259">
        <v>12</v>
      </c>
      <c r="F27" s="259">
        <v>195.14</v>
      </c>
      <c r="G27" s="259">
        <v>0</v>
      </c>
      <c r="H27" s="259">
        <v>75</v>
      </c>
      <c r="I27" s="260">
        <v>0</v>
      </c>
      <c r="J27" s="252"/>
      <c r="K27" s="261">
        <v>99</v>
      </c>
      <c r="L27" s="265">
        <v>92</v>
      </c>
      <c r="M27" s="263">
        <v>85</v>
      </c>
      <c r="N27" s="252"/>
      <c r="O27" s="264">
        <v>310</v>
      </c>
    </row>
    <row x14ac:dyDescent="0.25" r="28" customHeight="1" ht="18.75">
      <c r="A28" s="257">
        <f>SUM(A27+1)</f>
        <v>25568.708333333332</v>
      </c>
      <c r="B28" s="258">
        <f>TEXT(A28,"0")</f>
      </c>
      <c r="C28" s="259">
        <v>4365.6</v>
      </c>
      <c r="D28" s="259">
        <v>0</v>
      </c>
      <c r="E28" s="259">
        <v>0</v>
      </c>
      <c r="F28" s="259">
        <v>503.25</v>
      </c>
      <c r="G28" s="259">
        <v>0</v>
      </c>
      <c r="H28" s="259">
        <v>0</v>
      </c>
      <c r="I28" s="260">
        <v>0</v>
      </c>
      <c r="J28" s="252"/>
      <c r="K28" s="261">
        <v>98</v>
      </c>
      <c r="L28" s="265">
        <v>94</v>
      </c>
      <c r="M28" s="263">
        <v>85</v>
      </c>
      <c r="N28" s="252"/>
      <c r="O28" s="264">
        <v>447</v>
      </c>
    </row>
    <row x14ac:dyDescent="0.25" r="29" customHeight="1" ht="18.75">
      <c r="A29" s="257">
        <f>SUM(A28+1)</f>
        <v>25568.708333333332</v>
      </c>
      <c r="B29" s="258">
        <f>TEXT(A29,"ddd")</f>
      </c>
      <c r="C29" s="259">
        <v>11526.4</v>
      </c>
      <c r="D29" s="259">
        <v>487.8</v>
      </c>
      <c r="E29" s="259">
        <v>12</v>
      </c>
      <c r="F29" s="259">
        <v>863.61</v>
      </c>
      <c r="G29" s="259">
        <v>0</v>
      </c>
      <c r="H29" s="259">
        <v>110</v>
      </c>
      <c r="I29" s="260">
        <v>0</v>
      </c>
      <c r="J29" s="252"/>
      <c r="K29" s="261">
        <v>98</v>
      </c>
      <c r="L29" s="265">
        <v>91</v>
      </c>
      <c r="M29" s="263">
        <v>85</v>
      </c>
      <c r="N29" s="252"/>
      <c r="O29" s="264">
        <v>934</v>
      </c>
    </row>
    <row x14ac:dyDescent="0.25" r="30" customHeight="1" ht="18.75">
      <c r="A30" s="257">
        <f>SUM(A29+1)</f>
        <v>25568.708333333332</v>
      </c>
      <c r="B30" s="258">
        <f>TEXT(A30,"ddd")</f>
      </c>
      <c r="C30" s="259">
        <v>12779.6</v>
      </c>
      <c r="D30" s="259">
        <v>378.6</v>
      </c>
      <c r="E30" s="259">
        <v>8</v>
      </c>
      <c r="F30" s="259">
        <v>983.67</v>
      </c>
      <c r="G30" s="259">
        <v>0</v>
      </c>
      <c r="H30" s="259">
        <v>78.5</v>
      </c>
      <c r="I30" s="260">
        <v>0</v>
      </c>
      <c r="J30" s="252"/>
      <c r="K30" s="261">
        <v>98</v>
      </c>
      <c r="L30" s="265">
        <v>88</v>
      </c>
      <c r="M30" s="263">
        <v>84</v>
      </c>
      <c r="N30" s="252"/>
      <c r="O30" s="264">
        <v>990</v>
      </c>
    </row>
    <row x14ac:dyDescent="0.25" r="31" customHeight="1" ht="18.75">
      <c r="A31" s="257">
        <f>SUM(A30+1)</f>
        <v>25568.708333333332</v>
      </c>
      <c r="B31" s="258">
        <f>TEXT(A31,"ddd")</f>
      </c>
      <c r="C31" s="259">
        <v>7064</v>
      </c>
      <c r="D31" s="259">
        <v>293.4</v>
      </c>
      <c r="E31" s="259">
        <v>12</v>
      </c>
      <c r="F31" s="259">
        <v>503.43</v>
      </c>
      <c r="G31" s="259">
        <v>0</v>
      </c>
      <c r="H31" s="259">
        <v>0</v>
      </c>
      <c r="I31" s="260">
        <v>0</v>
      </c>
      <c r="J31" s="252"/>
      <c r="K31" s="261">
        <v>98</v>
      </c>
      <c r="L31" s="265">
        <v>86</v>
      </c>
      <c r="M31" s="263">
        <v>80</v>
      </c>
      <c r="N31" s="252"/>
      <c r="O31" s="264">
        <v>650</v>
      </c>
    </row>
    <row x14ac:dyDescent="0.25" r="32" customHeight="1" ht="18.75">
      <c r="A32" s="267">
        <f>SUM(A31+1)</f>
        <v>25568.708333333332</v>
      </c>
      <c r="B32" s="268">
        <f>TEXT(A32,"ddd")</f>
      </c>
      <c r="C32" s="269">
        <v>4978.4</v>
      </c>
      <c r="D32" s="269">
        <v>261.6</v>
      </c>
      <c r="E32" s="269">
        <v>8</v>
      </c>
      <c r="F32" s="269">
        <v>302.27</v>
      </c>
      <c r="G32" s="269">
        <v>0</v>
      </c>
      <c r="H32" s="269">
        <v>16</v>
      </c>
      <c r="I32" s="270">
        <v>0</v>
      </c>
      <c r="J32" s="252"/>
      <c r="K32" s="271">
        <v>104</v>
      </c>
      <c r="L32" s="272">
        <v>91</v>
      </c>
      <c r="M32" s="273">
        <v>80</v>
      </c>
      <c r="N32" s="252"/>
      <c r="O32" s="274">
        <v>437</v>
      </c>
    </row>
    <row x14ac:dyDescent="0.25" r="33" customHeight="1" ht="18.75">
      <c r="A33" s="275"/>
      <c r="B33" s="5"/>
      <c r="C33" s="30"/>
      <c r="D33" s="30"/>
      <c r="E33" s="30"/>
      <c r="F33" s="30"/>
      <c r="G33" s="30"/>
      <c r="H33" s="30"/>
      <c r="I33" s="30"/>
      <c r="J33" s="5"/>
      <c r="K33" s="276"/>
      <c r="L33" s="276"/>
      <c r="M33" s="276"/>
      <c r="N33" s="5"/>
      <c r="O33" s="277"/>
    </row>
    <row x14ac:dyDescent="0.25" r="34" customHeight="1" ht="18.75">
      <c r="A34" s="278" t="s">
        <v>118</v>
      </c>
      <c r="B34" s="279"/>
      <c r="C34" s="280">
        <f>SUM(C2:C33)</f>
      </c>
      <c r="D34" s="280">
        <f>SUM(D2:D33)</f>
      </c>
      <c r="E34" s="280">
        <f>SUM(E2:E33)</f>
      </c>
      <c r="F34" s="280">
        <f>SUM(F2:F33)</f>
      </c>
      <c r="G34" s="280">
        <f>SUM(G2:G33)</f>
      </c>
      <c r="H34" s="280">
        <f>SUM(H2:H33)</f>
      </c>
      <c r="I34" s="281">
        <f>SUM(I2:I33)</f>
      </c>
      <c r="J34" s="133"/>
      <c r="K34" s="282">
        <f>Pool!AJ57</f>
      </c>
      <c r="L34" s="283">
        <f>Pool!AJ58</f>
      </c>
      <c r="M34" s="284">
        <f>Pool!AJ59</f>
      </c>
      <c r="N34" s="197"/>
      <c r="O34" s="285">
        <f>SUM(O2:O33)</f>
      </c>
    </row>
    <row x14ac:dyDescent="0.25" r="35" customHeight="1" ht="18.75">
      <c r="A35" s="275"/>
      <c r="B35" s="5"/>
      <c r="C35" s="73"/>
      <c r="D35" s="72"/>
      <c r="E35" s="73"/>
      <c r="F35" s="73"/>
      <c r="G35" s="73"/>
      <c r="H35" s="73"/>
      <c r="I35" s="73"/>
      <c r="J35" s="5"/>
      <c r="K35" s="276"/>
      <c r="L35" s="276"/>
      <c r="M35" s="276"/>
      <c r="N35" s="5"/>
      <c r="O35" s="277"/>
    </row>
    <row x14ac:dyDescent="0.25" r="36" customHeight="1" ht="18.75">
      <c r="A36" s="275"/>
      <c r="B36" s="5"/>
      <c r="C36" s="73"/>
      <c r="D36" s="72"/>
      <c r="E36" s="73"/>
      <c r="F36" s="73"/>
      <c r="G36" s="73"/>
      <c r="H36" s="73"/>
      <c r="I36" s="73"/>
      <c r="J36" s="5"/>
      <c r="K36" s="276"/>
      <c r="L36" s="276"/>
      <c r="M36" s="276"/>
      <c r="N36" s="5"/>
      <c r="O36" s="277"/>
    </row>
    <row x14ac:dyDescent="0.25" r="37" customHeight="1" ht="18.75">
      <c r="A37" s="286" t="s">
        <v>161</v>
      </c>
      <c r="B37" s="287"/>
      <c r="C37" s="288"/>
      <c r="D37" s="289"/>
      <c r="E37" s="288"/>
      <c r="F37" s="73"/>
      <c r="G37" s="73"/>
      <c r="H37" s="73"/>
      <c r="I37" s="73"/>
      <c r="J37" s="5"/>
      <c r="K37" s="276"/>
      <c r="L37" s="276"/>
      <c r="M37" s="276"/>
      <c r="N37" s="5"/>
      <c r="O37" s="277"/>
    </row>
    <row x14ac:dyDescent="0.25" r="38" customHeight="1" ht="18.75">
      <c r="A38" s="286"/>
      <c r="B38" s="287"/>
      <c r="C38" s="288" t="s">
        <v>162</v>
      </c>
      <c r="D38" s="290">
        <v>100</v>
      </c>
      <c r="E38" s="288"/>
      <c r="F38" s="73"/>
      <c r="G38" s="73"/>
      <c r="H38" s="73"/>
      <c r="I38" s="73"/>
      <c r="J38" s="5"/>
      <c r="K38" s="276"/>
      <c r="L38" s="276"/>
      <c r="M38" s="276"/>
      <c r="N38" s="5"/>
      <c r="O38" s="277"/>
    </row>
    <row x14ac:dyDescent="0.25" r="39" customHeight="1" ht="18.75">
      <c r="A39" s="286"/>
      <c r="B39" s="291" t="s">
        <v>163</v>
      </c>
      <c r="C39" s="292" t="s">
        <v>164</v>
      </c>
      <c r="D39" s="293">
        <v>-10</v>
      </c>
      <c r="E39" s="288"/>
      <c r="F39" s="73"/>
      <c r="G39" s="73"/>
      <c r="H39" s="73"/>
      <c r="I39" s="73"/>
      <c r="J39" s="5"/>
      <c r="K39" s="276"/>
      <c r="L39" s="276"/>
      <c r="M39" s="276"/>
      <c r="N39" s="5"/>
      <c r="O39" s="277"/>
    </row>
    <row x14ac:dyDescent="0.25" r="40" customHeight="1" ht="18.75">
      <c r="A40" s="286"/>
      <c r="B40" s="287"/>
      <c r="C40" s="288"/>
      <c r="D40" s="290">
        <v>90</v>
      </c>
      <c r="E40" s="288"/>
      <c r="F40" s="73"/>
      <c r="G40" s="73"/>
      <c r="H40" s="73"/>
      <c r="I40" s="73"/>
      <c r="J40" s="5"/>
      <c r="K40" s="276"/>
      <c r="L40" s="276"/>
      <c r="M40" s="276"/>
      <c r="N40" s="5"/>
      <c r="O40" s="277"/>
    </row>
    <row x14ac:dyDescent="0.25" r="41" customHeight="1" ht="18.75">
      <c r="A41" s="286"/>
      <c r="B41" s="294" t="s">
        <v>165</v>
      </c>
      <c r="C41" s="295" t="s">
        <v>83</v>
      </c>
      <c r="D41" s="296">
        <v>20</v>
      </c>
      <c r="E41" s="288"/>
      <c r="F41" s="73"/>
      <c r="G41" s="73"/>
      <c r="H41" s="73"/>
      <c r="I41" s="73"/>
      <c r="J41" s="5"/>
      <c r="K41" s="276"/>
      <c r="L41" s="276"/>
      <c r="M41" s="276"/>
      <c r="N41" s="5"/>
      <c r="O41" s="277"/>
    </row>
    <row x14ac:dyDescent="0.25" r="42" customHeight="1" ht="18.75">
      <c r="A42" s="286"/>
      <c r="B42" s="287"/>
      <c r="C42" s="288"/>
      <c r="D42" s="297">
        <v>110</v>
      </c>
      <c r="E42" s="298" t="s">
        <v>84</v>
      </c>
      <c r="F42" s="73"/>
      <c r="G42" s="73"/>
      <c r="H42" s="73"/>
      <c r="I42" s="73"/>
      <c r="J42" s="5"/>
      <c r="K42" s="276"/>
      <c r="L42" s="276"/>
      <c r="M42" s="276"/>
      <c r="N42" s="5"/>
      <c r="O42" s="277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6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67" width="10.43357142857143" customWidth="1" bestFit="1"/>
    <col min="2" max="2" style="67" width="21.862142857142857" customWidth="1" bestFit="1"/>
    <col min="3" max="3" style="89" width="9.576428571428572" customWidth="1" bestFit="1"/>
    <col min="4" max="4" style="89" width="9.576428571428572" customWidth="1" bestFit="1"/>
    <col min="5" max="5" style="89" width="9.576428571428572" customWidth="1" bestFit="1"/>
    <col min="6" max="6" style="89" width="9.005" customWidth="1" bestFit="1"/>
    <col min="7" max="7" style="89" width="9.576428571428572" customWidth="1" bestFit="1"/>
    <col min="8" max="8" style="89" width="9.576428571428572" customWidth="1" bestFit="1"/>
    <col min="9" max="9" style="89" width="9.576428571428572" customWidth="1" bestFit="1"/>
    <col min="10" max="10" style="89" width="9.576428571428572" customWidth="1" bestFit="1"/>
    <col min="11" max="11" style="89" width="9.576428571428572" customWidth="1" bestFit="1"/>
    <col min="12" max="12" style="89" width="9.576428571428572" customWidth="1" bestFit="1"/>
    <col min="13" max="13" style="89" width="9.576428571428572" customWidth="1" bestFit="1"/>
    <col min="14" max="14" style="89" width="9.576428571428572" customWidth="1" bestFit="1"/>
    <col min="15" max="15" style="89" width="9.576428571428572" customWidth="1" bestFit="1"/>
    <col min="16" max="16" style="89" width="9.576428571428572" customWidth="1" bestFit="1"/>
    <col min="17" max="17" style="89" width="9.576428571428572" customWidth="1" bestFit="1"/>
    <col min="18" max="18" style="89" width="9.576428571428572" customWidth="1" bestFit="1"/>
    <col min="19" max="19" style="89" width="9.576428571428572" customWidth="1" bestFit="1"/>
    <col min="20" max="20" style="89" width="9.576428571428572" customWidth="1" bestFit="1"/>
    <col min="21" max="21" style="89" width="9.576428571428572" customWidth="1" bestFit="1"/>
    <col min="22" max="22" style="89" width="9.576428571428572" customWidth="1" bestFit="1"/>
    <col min="23" max="23" style="89" width="9.576428571428572" customWidth="1" bestFit="1"/>
    <col min="24" max="24" style="89" width="9.576428571428572" customWidth="1" bestFit="1"/>
    <col min="25" max="25" style="89" width="9.576428571428572" customWidth="1" bestFit="1"/>
    <col min="26" max="26" style="89" width="9.576428571428572" customWidth="1" bestFit="1"/>
    <col min="27" max="27" style="89" width="9.576428571428572" customWidth="1" bestFit="1"/>
    <col min="28" max="28" style="89" width="9.576428571428572" customWidth="1" bestFit="1"/>
    <col min="29" max="29" style="89" width="9.576428571428572" customWidth="1" bestFit="1"/>
    <col min="30" max="30" style="89" width="9.576428571428572" customWidth="1" bestFit="1"/>
    <col min="31" max="31" style="89" width="9.576428571428572" customWidth="1" bestFit="1"/>
    <col min="32" max="32" style="89" width="9.576428571428572" customWidth="1" bestFit="1"/>
    <col min="33" max="33" style="89" width="9.576428571428572" customWidth="1" bestFit="1"/>
    <col min="34" max="34" style="89" width="12.576428571428572" customWidth="1" bestFit="1"/>
    <col min="35" max="35" style="67" width="2.4335714285714283" customWidth="1" bestFit="1"/>
    <col min="36" max="36" style="89" width="10.43357142857143" customWidth="1" bestFit="1"/>
    <col min="37" max="37" style="67" width="27.719285714285714" customWidth="1" bestFit="1"/>
    <col min="38" max="38" style="239" width="11.290714285714287" customWidth="1" bestFit="1"/>
    <col min="39" max="39" style="90" width="11.862142857142858" customWidth="1" bestFit="1"/>
    <col min="40" max="40" style="239" width="11.576428571428572" customWidth="1" bestFit="1"/>
  </cols>
  <sheetData>
    <row x14ac:dyDescent="0.25" r="1" customHeight="1" ht="18.75">
      <c r="A1" s="91" t="s">
        <v>92</v>
      </c>
      <c r="B1" s="71">
        <f>'Cash Flow'!C1</f>
      </c>
      <c r="C1" s="92">
        <f>TRANSPOSE('Cash Flow'!B8:B38)</f>
      </c>
      <c r="D1" s="92" t="s">
        <v>119</v>
      </c>
      <c r="E1" s="92" t="s">
        <v>120</v>
      </c>
      <c r="F1" s="92" t="s">
        <v>121</v>
      </c>
      <c r="G1" s="92" t="s">
        <v>122</v>
      </c>
      <c r="H1" s="92" t="s">
        <v>123</v>
      </c>
      <c r="I1" s="92" t="s">
        <v>124</v>
      </c>
      <c r="J1" s="92" t="s">
        <v>125</v>
      </c>
      <c r="K1" s="92" t="s">
        <v>119</v>
      </c>
      <c r="L1" s="92" t="s">
        <v>120</v>
      </c>
      <c r="M1" s="92" t="s">
        <v>121</v>
      </c>
      <c r="N1" s="92" t="s">
        <v>122</v>
      </c>
      <c r="O1" s="92" t="s">
        <v>123</v>
      </c>
      <c r="P1" s="92" t="s">
        <v>124</v>
      </c>
      <c r="Q1" s="92" t="s">
        <v>125</v>
      </c>
      <c r="R1" s="92" t="s">
        <v>119</v>
      </c>
      <c r="S1" s="92" t="s">
        <v>120</v>
      </c>
      <c r="T1" s="92" t="s">
        <v>121</v>
      </c>
      <c r="U1" s="92" t="s">
        <v>122</v>
      </c>
      <c r="V1" s="92" t="s">
        <v>123</v>
      </c>
      <c r="W1" s="92" t="s">
        <v>124</v>
      </c>
      <c r="X1" s="92" t="s">
        <v>125</v>
      </c>
      <c r="Y1" s="92" t="s">
        <v>119</v>
      </c>
      <c r="Z1" s="92" t="s">
        <v>120</v>
      </c>
      <c r="AA1" s="92" t="s">
        <v>121</v>
      </c>
      <c r="AB1" s="92" t="s">
        <v>122</v>
      </c>
      <c r="AC1" s="92" t="s">
        <v>123</v>
      </c>
      <c r="AD1" s="92" t="s">
        <v>124</v>
      </c>
      <c r="AE1" s="92" t="s">
        <v>125</v>
      </c>
      <c r="AF1" s="92" t="s">
        <v>119</v>
      </c>
      <c r="AG1" s="92" t="s">
        <v>120</v>
      </c>
      <c r="AH1" s="72"/>
      <c r="AI1" s="5"/>
      <c r="AJ1" s="72"/>
      <c r="AK1" s="5"/>
      <c r="AL1" s="93"/>
      <c r="AM1" s="73"/>
      <c r="AN1" s="93"/>
    </row>
    <row x14ac:dyDescent="0.25" r="2" customHeight="1" ht="18.75">
      <c r="A2" s="94" t="s">
        <v>126</v>
      </c>
      <c r="B2" s="95" t="s">
        <v>86</v>
      </c>
      <c r="C2" s="96">
        <f>'Cash Flow'!A8</f>
        <v>25568.708333333332</v>
      </c>
      <c r="D2" s="96">
        <f>C2+1</f>
        <v>25568.708333333332</v>
      </c>
      <c r="E2" s="96">
        <f>D2+1</f>
        <v>25568.708333333332</v>
      </c>
      <c r="F2" s="96">
        <f>E2+1</f>
        <v>25568.708333333332</v>
      </c>
      <c r="G2" s="96">
        <f>F2+1</f>
        <v>25568.708333333332</v>
      </c>
      <c r="H2" s="96">
        <f>G2+1</f>
        <v>25568.708333333332</v>
      </c>
      <c r="I2" s="96">
        <f>H2+1</f>
        <v>25568.708333333332</v>
      </c>
      <c r="J2" s="96">
        <f>I2+1</f>
        <v>25568.708333333332</v>
      </c>
      <c r="K2" s="96">
        <f>J2+1</f>
        <v>25568.708333333332</v>
      </c>
      <c r="L2" s="96">
        <f>K2+1</f>
        <v>25568.708333333332</v>
      </c>
      <c r="M2" s="96">
        <f>L2+1</f>
        <v>25568.708333333332</v>
      </c>
      <c r="N2" s="96">
        <f>M2+1</f>
        <v>25568.708333333332</v>
      </c>
      <c r="O2" s="96">
        <f>N2+1</f>
        <v>25568.708333333332</v>
      </c>
      <c r="P2" s="96">
        <f>O2+1</f>
        <v>25568.708333333332</v>
      </c>
      <c r="Q2" s="96">
        <f>P2+1</f>
        <v>25568.708333333332</v>
      </c>
      <c r="R2" s="96">
        <f>Q2+1</f>
        <v>25568.708333333332</v>
      </c>
      <c r="S2" s="96">
        <f>R2+1</f>
        <v>25568.708333333332</v>
      </c>
      <c r="T2" s="96">
        <f>S2+1</f>
        <v>25568.708333333332</v>
      </c>
      <c r="U2" s="96">
        <f>T2+1</f>
        <v>25568.708333333332</v>
      </c>
      <c r="V2" s="96">
        <f>U2+1</f>
        <v>25568.708333333332</v>
      </c>
      <c r="W2" s="96">
        <f>V2+1</f>
        <v>25568.708333333332</v>
      </c>
      <c r="X2" s="96">
        <f>W2+1</f>
        <v>25568.708333333332</v>
      </c>
      <c r="Y2" s="96">
        <f>X2+1</f>
        <v>25568.708333333332</v>
      </c>
      <c r="Z2" s="96">
        <f>Y2+1</f>
        <v>25568.708333333332</v>
      </c>
      <c r="AA2" s="96">
        <f>Z2+1</f>
        <v>25568.708333333332</v>
      </c>
      <c r="AB2" s="96">
        <f>AA2+1</f>
        <v>25568.708333333332</v>
      </c>
      <c r="AC2" s="96">
        <f>AB2+1</f>
        <v>25568.708333333332</v>
      </c>
      <c r="AD2" s="96">
        <f>AC2+1</f>
        <v>25568.708333333332</v>
      </c>
      <c r="AE2" s="96">
        <f>AD2+1</f>
        <v>25568.708333333332</v>
      </c>
      <c r="AF2" s="96">
        <f>AE2+1</f>
        <v>25568.708333333332</v>
      </c>
      <c r="AG2" s="96">
        <f>AF2+1</f>
        <v>25568.708333333332</v>
      </c>
      <c r="AH2" s="97" t="s">
        <v>127</v>
      </c>
      <c r="AI2" s="5"/>
      <c r="AJ2" s="98" t="s">
        <v>126</v>
      </c>
      <c r="AK2" s="95" t="s">
        <v>86</v>
      </c>
      <c r="AL2" s="93"/>
      <c r="AM2" s="73"/>
      <c r="AN2" s="93"/>
    </row>
    <row x14ac:dyDescent="0.25" r="3" customHeight="1" ht="18.75">
      <c r="A3" s="99" t="s">
        <v>46</v>
      </c>
      <c r="B3" s="100" t="s">
        <v>128</v>
      </c>
      <c r="C3" s="101">
        <v>3.13</v>
      </c>
      <c r="D3" s="101">
        <f>10.79-0.14-0.09-1.89-0.43-3.77</f>
      </c>
      <c r="E3" s="101">
        <v>3.33</v>
      </c>
      <c r="F3" s="101">
        <v>6.26</v>
      </c>
      <c r="G3" s="101">
        <v>7</v>
      </c>
      <c r="H3" s="101">
        <v>14.5</v>
      </c>
      <c r="I3" s="101">
        <v>9.33</v>
      </c>
      <c r="J3" s="101">
        <v>19.56</v>
      </c>
      <c r="K3" s="101">
        <v>4.99</v>
      </c>
      <c r="L3" s="101">
        <v>7.21</v>
      </c>
      <c r="M3" s="101">
        <v>11.78</v>
      </c>
      <c r="N3" s="101">
        <v>13</v>
      </c>
      <c r="O3" s="101">
        <v>9.36</v>
      </c>
      <c r="P3" s="101">
        <v>32.45</v>
      </c>
      <c r="Q3" s="101">
        <v>13.83</v>
      </c>
      <c r="R3" s="101">
        <v>10.25</v>
      </c>
      <c r="S3" s="101">
        <v>9.34</v>
      </c>
      <c r="T3" s="101">
        <v>7.18</v>
      </c>
      <c r="U3" s="101">
        <v>10.35</v>
      </c>
      <c r="V3" s="101">
        <v>6.23</v>
      </c>
      <c r="W3" s="101">
        <v>16.19</v>
      </c>
      <c r="X3" s="101">
        <v>23.48</v>
      </c>
      <c r="Y3" s="101">
        <v>10.92</v>
      </c>
      <c r="Z3" s="101">
        <v>24</v>
      </c>
      <c r="AA3" s="101">
        <v>17.58</v>
      </c>
      <c r="AB3" s="101">
        <v>16.01</v>
      </c>
      <c r="AC3" s="101">
        <v>14.4</v>
      </c>
      <c r="AD3" s="101">
        <v>15.18</v>
      </c>
      <c r="AE3" s="101">
        <v>19.3</v>
      </c>
      <c r="AF3" s="101">
        <v>22.15</v>
      </c>
      <c r="AG3" s="101">
        <v>17.35</v>
      </c>
      <c r="AH3" s="102">
        <f>SUM(C3:AG3)</f>
      </c>
      <c r="AI3" s="5"/>
      <c r="AJ3" s="103" t="s">
        <v>46</v>
      </c>
      <c r="AK3" s="100" t="s">
        <v>128</v>
      </c>
      <c r="AL3" s="93"/>
      <c r="AM3" s="73"/>
      <c r="AN3" s="93"/>
    </row>
    <row x14ac:dyDescent="0.25" r="4" customHeight="1" ht="18.75">
      <c r="A4" s="104" t="s">
        <v>94</v>
      </c>
      <c r="B4" s="105" t="s">
        <v>95</v>
      </c>
      <c r="C4" s="106">
        <v>774</v>
      </c>
      <c r="D4" s="106">
        <f>260-5</f>
      </c>
      <c r="E4" s="106">
        <v>370</v>
      </c>
      <c r="F4" s="106">
        <v>342</v>
      </c>
      <c r="G4" s="106">
        <v>493</v>
      </c>
      <c r="H4" s="106">
        <v>633</v>
      </c>
      <c r="I4" s="106">
        <v>855</v>
      </c>
      <c r="J4" s="106">
        <v>1097</v>
      </c>
      <c r="K4" s="106">
        <v>441</v>
      </c>
      <c r="L4" s="106">
        <v>499</v>
      </c>
      <c r="M4" s="106">
        <v>650</v>
      </c>
      <c r="N4" s="106">
        <v>602</v>
      </c>
      <c r="O4" s="106">
        <v>700</v>
      </c>
      <c r="P4" s="106">
        <v>1476</v>
      </c>
      <c r="Q4" s="106">
        <v>1293</v>
      </c>
      <c r="R4" s="106">
        <v>825</v>
      </c>
      <c r="S4" s="106">
        <v>730</v>
      </c>
      <c r="T4" s="106">
        <v>606</v>
      </c>
      <c r="U4" s="106">
        <v>878</v>
      </c>
      <c r="V4" s="106">
        <v>851</v>
      </c>
      <c r="W4" s="106">
        <v>1410</v>
      </c>
      <c r="X4" s="106">
        <v>1516</v>
      </c>
      <c r="Y4" s="106">
        <v>907</v>
      </c>
      <c r="Z4" s="106">
        <v>897</v>
      </c>
      <c r="AA4" s="106">
        <f>1065+150</f>
      </c>
      <c r="AB4" s="106">
        <v>1077</v>
      </c>
      <c r="AC4" s="106">
        <v>1346</v>
      </c>
      <c r="AD4" s="106">
        <v>1850</v>
      </c>
      <c r="AE4" s="106">
        <v>2156</v>
      </c>
      <c r="AF4" s="106">
        <f>1625+45</f>
      </c>
      <c r="AG4" s="106">
        <v>1253</v>
      </c>
      <c r="AH4" s="102">
        <f>SUM(C4:AG4)</f>
      </c>
      <c r="AI4" s="5"/>
      <c r="AJ4" s="107" t="s">
        <v>94</v>
      </c>
      <c r="AK4" s="105" t="s">
        <v>95</v>
      </c>
      <c r="AL4" s="93"/>
      <c r="AM4" s="73"/>
      <c r="AN4" s="93"/>
    </row>
    <row x14ac:dyDescent="0.25" r="5" customHeight="1" ht="18.75">
      <c r="A5" s="104" t="s">
        <v>96</v>
      </c>
      <c r="B5" s="105" t="s">
        <v>129</v>
      </c>
      <c r="C5" s="108"/>
      <c r="D5" s="108"/>
      <c r="E5" s="108"/>
      <c r="F5" s="108">
        <v>346</v>
      </c>
      <c r="G5" s="108"/>
      <c r="H5" s="108"/>
      <c r="I5" s="108"/>
      <c r="J5" s="108"/>
      <c r="K5" s="108"/>
      <c r="L5" s="108"/>
      <c r="M5" s="108"/>
      <c r="N5" s="108"/>
      <c r="O5" s="108">
        <v>30</v>
      </c>
      <c r="P5" s="108"/>
      <c r="Q5" s="108"/>
      <c r="R5" s="108"/>
      <c r="S5" s="108"/>
      <c r="T5" s="108"/>
      <c r="U5" s="108">
        <v>3</v>
      </c>
      <c r="V5" s="108"/>
      <c r="W5" s="108"/>
      <c r="X5" s="108"/>
      <c r="Y5" s="108"/>
      <c r="Z5" s="108"/>
      <c r="AA5" s="108"/>
      <c r="AB5" s="108">
        <v>4</v>
      </c>
      <c r="AC5" s="108"/>
      <c r="AD5" s="108"/>
      <c r="AE5" s="108">
        <v>187</v>
      </c>
      <c r="AF5" s="108"/>
      <c r="AG5" s="108"/>
      <c r="AH5" s="102">
        <f>SUM(C5:AG5)</f>
      </c>
      <c r="AI5" s="5"/>
      <c r="AJ5" s="107" t="s">
        <v>96</v>
      </c>
      <c r="AK5" s="105" t="s">
        <v>129</v>
      </c>
      <c r="AL5" s="93"/>
      <c r="AM5" s="73"/>
      <c r="AN5" s="93"/>
    </row>
    <row x14ac:dyDescent="0.25" r="6" customHeight="1" ht="18.75">
      <c r="A6" s="104" t="s">
        <v>98</v>
      </c>
      <c r="B6" s="105" t="s">
        <v>130</v>
      </c>
      <c r="C6" s="108">
        <v>31.65</v>
      </c>
      <c r="D6" s="108">
        <f>114.12-1.5-0.9-19.95-4.5-39.9</f>
      </c>
      <c r="E6" s="108">
        <v>35.17</v>
      </c>
      <c r="F6" s="108">
        <v>66.29</v>
      </c>
      <c r="G6" s="108">
        <f>76.03-2.4</f>
      </c>
      <c r="H6" s="108">
        <f>153.33</f>
      </c>
      <c r="I6" s="108">
        <v>98.58</v>
      </c>
      <c r="J6" s="108">
        <v>207</v>
      </c>
      <c r="K6" s="108">
        <v>52.68</v>
      </c>
      <c r="L6" s="108">
        <v>76.24</v>
      </c>
      <c r="M6" s="108">
        <v>124.55</v>
      </c>
      <c r="N6" s="108">
        <v>137.6</v>
      </c>
      <c r="O6" s="108">
        <v>98.97</v>
      </c>
      <c r="P6" s="108">
        <v>343.16</v>
      </c>
      <c r="Q6" s="108">
        <v>146.36</v>
      </c>
      <c r="R6" s="108">
        <v>108.3</v>
      </c>
      <c r="S6" s="108">
        <v>98.22</v>
      </c>
      <c r="T6" s="108">
        <v>75.99</v>
      </c>
      <c r="U6" s="108">
        <v>116.08</v>
      </c>
      <c r="V6" s="108">
        <v>65.79</v>
      </c>
      <c r="W6" s="108">
        <v>171.44</v>
      </c>
      <c r="X6" s="108">
        <v>248.48</v>
      </c>
      <c r="Y6" s="108">
        <v>115.42</v>
      </c>
      <c r="Z6" s="108">
        <v>253.36</v>
      </c>
      <c r="AA6" s="108">
        <v>185.76</v>
      </c>
      <c r="AB6" s="108">
        <v>169.01</v>
      </c>
      <c r="AC6" s="108">
        <v>152.12</v>
      </c>
      <c r="AD6" s="108">
        <v>160.68</v>
      </c>
      <c r="AE6" s="108">
        <v>204.08</v>
      </c>
      <c r="AF6" s="108">
        <v>234.4</v>
      </c>
      <c r="AG6" s="108">
        <v>183.53</v>
      </c>
      <c r="AH6" s="102">
        <f>SUM(C6:AG6)</f>
      </c>
      <c r="AI6" s="5"/>
      <c r="AJ6" s="107" t="s">
        <v>98</v>
      </c>
      <c r="AK6" s="105" t="s">
        <v>130</v>
      </c>
      <c r="AL6" s="93"/>
      <c r="AM6" s="73"/>
      <c r="AN6" s="93"/>
    </row>
    <row x14ac:dyDescent="0.25" r="7" customHeight="1" ht="18.75">
      <c r="A7" s="104" t="s">
        <v>98</v>
      </c>
      <c r="B7" s="105" t="s">
        <v>100</v>
      </c>
      <c r="C7" s="108">
        <v>2</v>
      </c>
      <c r="D7" s="108"/>
      <c r="E7" s="108"/>
      <c r="F7" s="108"/>
      <c r="G7" s="108">
        <v>2.4</v>
      </c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>
        <v>1.6</v>
      </c>
      <c r="S7" s="108"/>
      <c r="T7" s="108"/>
      <c r="U7" s="108">
        <v>0.4</v>
      </c>
      <c r="V7" s="108"/>
      <c r="W7" s="108"/>
      <c r="X7" s="108">
        <v>0.4</v>
      </c>
      <c r="Y7" s="108"/>
      <c r="Z7" s="108"/>
      <c r="AA7" s="108"/>
      <c r="AB7" s="108"/>
      <c r="AC7" s="108"/>
      <c r="AD7" s="108"/>
      <c r="AE7" s="108"/>
      <c r="AF7" s="108"/>
      <c r="AG7" s="108"/>
      <c r="AH7" s="102">
        <f>SUM(C7:AG7)</f>
      </c>
      <c r="AI7" s="5"/>
      <c r="AJ7" s="107" t="s">
        <v>98</v>
      </c>
      <c r="AK7" s="105" t="s">
        <v>100</v>
      </c>
      <c r="AL7" s="93"/>
      <c r="AM7" s="73"/>
      <c r="AN7" s="93"/>
    </row>
    <row x14ac:dyDescent="0.25" r="8" customHeight="1" ht="18.75">
      <c r="A8" s="109"/>
      <c r="B8" s="110" t="s">
        <v>131</v>
      </c>
      <c r="C8" s="111">
        <f>SUM(C3:C7)</f>
      </c>
      <c r="D8" s="111">
        <f>SUM(D3:D7)</f>
      </c>
      <c r="E8" s="111">
        <f>SUM(E3:E7)</f>
      </c>
      <c r="F8" s="111">
        <f>SUM(F3:F7)</f>
      </c>
      <c r="G8" s="111">
        <f>SUM(G3:G7)</f>
      </c>
      <c r="H8" s="111">
        <f>SUM(H3:H7)</f>
      </c>
      <c r="I8" s="111">
        <f>SUM(I3:I7)</f>
      </c>
      <c r="J8" s="111">
        <f>SUM(J3:J7)</f>
      </c>
      <c r="K8" s="111">
        <f>SUM(K3:K7)</f>
      </c>
      <c r="L8" s="111">
        <f>SUM(L3:L7)</f>
      </c>
      <c r="M8" s="111">
        <f>SUM(M3:M7)</f>
      </c>
      <c r="N8" s="111">
        <f>SUM(N3:N7)</f>
      </c>
      <c r="O8" s="111">
        <f>SUM(O3:O7)</f>
      </c>
      <c r="P8" s="111">
        <f>SUM(P3:P7)</f>
      </c>
      <c r="Q8" s="111">
        <f>SUM(Q3:Q7)</f>
      </c>
      <c r="R8" s="111">
        <f>SUM(R3:R7)</f>
      </c>
      <c r="S8" s="111">
        <f>SUM(S3:S7)</f>
      </c>
      <c r="T8" s="111">
        <f>SUM(T3:T7)</f>
      </c>
      <c r="U8" s="111">
        <f>SUM(U3:U7)</f>
      </c>
      <c r="V8" s="111">
        <f>SUM(V3:V7)</f>
      </c>
      <c r="W8" s="111">
        <f>SUM(W3:W7)</f>
      </c>
      <c r="X8" s="111">
        <f>SUM(X3:X7)</f>
      </c>
      <c r="Y8" s="111">
        <f>SUM(Y3:Y7)</f>
      </c>
      <c r="Z8" s="111">
        <f>SUM(Z3:Z7)</f>
      </c>
      <c r="AA8" s="111">
        <f>SUM(AA3:AA7)</f>
      </c>
      <c r="AB8" s="111">
        <f>SUM(AB3:AB7)</f>
      </c>
      <c r="AC8" s="111">
        <f>SUM(AC3:AC7)</f>
      </c>
      <c r="AD8" s="111">
        <f>SUM(AD3:AD7)</f>
      </c>
      <c r="AE8" s="111">
        <f>SUM(AE3:AE7)</f>
      </c>
      <c r="AF8" s="111">
        <f>SUM(AF3:AF7)</f>
      </c>
      <c r="AG8" s="111">
        <f>SUM(AG3:AG7)</f>
      </c>
      <c r="AH8" s="112">
        <f>SUM(C8:AG8)</f>
      </c>
      <c r="AI8" s="5"/>
      <c r="AJ8" s="107"/>
      <c r="AK8" s="105"/>
      <c r="AL8" s="93"/>
      <c r="AM8" s="73"/>
      <c r="AN8" s="93"/>
    </row>
    <row x14ac:dyDescent="0.25" r="9" customHeight="1" ht="18.75">
      <c r="A9" s="113" t="s">
        <v>46</v>
      </c>
      <c r="B9" s="114" t="s">
        <v>128</v>
      </c>
      <c r="C9" s="115"/>
      <c r="D9" s="116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>
        <v>8.52</v>
      </c>
      <c r="AE9" s="117">
        <v>28.54</v>
      </c>
      <c r="AF9" s="117">
        <v>7.09</v>
      </c>
      <c r="AG9" s="117">
        <v>4.66</v>
      </c>
      <c r="AH9" s="118">
        <f>SUM(C9:AG9)</f>
      </c>
      <c r="AI9" s="5"/>
      <c r="AJ9" s="119"/>
      <c r="AK9" s="120"/>
      <c r="AL9" s="93"/>
      <c r="AM9" s="73"/>
      <c r="AN9" s="93"/>
    </row>
    <row x14ac:dyDescent="0.25" r="10" customHeight="1" ht="18.75">
      <c r="A10" s="104" t="s">
        <v>94</v>
      </c>
      <c r="B10" s="105" t="s">
        <v>95</v>
      </c>
      <c r="C10" s="121"/>
      <c r="D10" s="108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>
        <v>1110</v>
      </c>
      <c r="AE10" s="122">
        <f>1333+45</f>
      </c>
      <c r="AF10" s="122">
        <v>842</v>
      </c>
      <c r="AG10" s="122">
        <v>480</v>
      </c>
      <c r="AH10" s="123">
        <f>SUM(C10:AG10)</f>
      </c>
      <c r="AI10" s="5"/>
      <c r="AJ10" s="119"/>
      <c r="AK10" s="120"/>
      <c r="AL10" s="93"/>
      <c r="AM10" s="73"/>
      <c r="AN10" s="93"/>
    </row>
    <row x14ac:dyDescent="0.25" r="11" customHeight="1" ht="18.75">
      <c r="A11" s="104" t="s">
        <v>96</v>
      </c>
      <c r="B11" s="105" t="s">
        <v>129</v>
      </c>
      <c r="C11" s="121"/>
      <c r="D11" s="108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3">
        <f>SUM(C11:AG11)</f>
      </c>
      <c r="AI11" s="5"/>
      <c r="AJ11" s="119"/>
      <c r="AK11" s="120"/>
      <c r="AL11" s="93"/>
      <c r="AM11" s="73"/>
      <c r="AN11" s="93"/>
    </row>
    <row x14ac:dyDescent="0.25" r="12" customHeight="1" ht="18.75">
      <c r="A12" s="104" t="s">
        <v>98</v>
      </c>
      <c r="B12" s="105" t="s">
        <v>130</v>
      </c>
      <c r="C12" s="121"/>
      <c r="D12" s="108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>
        <v>87.8</v>
      </c>
      <c r="AE12" s="122">
        <v>301.85</v>
      </c>
      <c r="AF12" s="122">
        <v>73.54</v>
      </c>
      <c r="AG12" s="122">
        <v>49.17</v>
      </c>
      <c r="AH12" s="123">
        <f>SUM(C12:AG12)</f>
      </c>
      <c r="AI12" s="5"/>
      <c r="AJ12" s="119"/>
      <c r="AK12" s="120"/>
      <c r="AL12" s="93"/>
      <c r="AM12" s="73"/>
      <c r="AN12" s="93"/>
    </row>
    <row x14ac:dyDescent="0.25" r="13" customHeight="1" ht="18.75">
      <c r="A13" s="104" t="s">
        <v>98</v>
      </c>
      <c r="B13" s="105" t="s">
        <v>100</v>
      </c>
      <c r="C13" s="121"/>
      <c r="D13" s="108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3">
        <f>SUM(C13:AG13)</f>
      </c>
      <c r="AI13" s="5"/>
      <c r="AJ13" s="119"/>
      <c r="AK13" s="120"/>
      <c r="AL13" s="93"/>
      <c r="AM13" s="73"/>
      <c r="AN13" s="93"/>
    </row>
    <row x14ac:dyDescent="0.25" r="14" customHeight="1" ht="18.75">
      <c r="A14" s="124"/>
      <c r="B14" s="125" t="s">
        <v>132</v>
      </c>
      <c r="C14" s="126">
        <f>SUM(C9:C13)</f>
      </c>
      <c r="D14" s="126">
        <f>SUM(D9:D13)</f>
      </c>
      <c r="E14" s="126">
        <f>SUM(E9:E13)</f>
      </c>
      <c r="F14" s="126">
        <f>SUM(F9:F13)</f>
      </c>
      <c r="G14" s="126">
        <f>SUM(G9:G13)</f>
      </c>
      <c r="H14" s="126">
        <f>SUM(H9:H13)</f>
      </c>
      <c r="I14" s="126">
        <f>SUM(I9:I13)</f>
      </c>
      <c r="J14" s="126">
        <f>SUM(J9:J13)</f>
      </c>
      <c r="K14" s="126">
        <f>SUM(K9:K13)</f>
      </c>
      <c r="L14" s="126">
        <f>SUM(L9:L13)</f>
      </c>
      <c r="M14" s="126">
        <f>SUM(M9:M13)</f>
      </c>
      <c r="N14" s="126">
        <f>SUM(N9:N13)</f>
      </c>
      <c r="O14" s="126">
        <f>SUM(O9:O13)</f>
      </c>
      <c r="P14" s="126">
        <f>SUM(P9:P13)</f>
      </c>
      <c r="Q14" s="126">
        <f>SUM(Q9:Q13)</f>
      </c>
      <c r="R14" s="126">
        <f>SUM(R9:R13)</f>
      </c>
      <c r="S14" s="126">
        <f>SUM(S9:S13)</f>
      </c>
      <c r="T14" s="126">
        <f>SUM(T9:T13)</f>
      </c>
      <c r="U14" s="126">
        <f>SUM(U9:U13)</f>
      </c>
      <c r="V14" s="126">
        <f>SUM(V9:V13)</f>
      </c>
      <c r="W14" s="126">
        <f>SUM(W9:W13)</f>
      </c>
      <c r="X14" s="126">
        <f>SUM(X9:X13)</f>
      </c>
      <c r="Y14" s="126">
        <f>SUM(Y9:Y13)</f>
      </c>
      <c r="Z14" s="126">
        <f>SUM(Z9:Z13)</f>
      </c>
      <c r="AA14" s="126">
        <f>SUM(AA9:AA13)</f>
      </c>
      <c r="AB14" s="126">
        <f>SUM(AB9:AB13)</f>
      </c>
      <c r="AC14" s="126">
        <f>SUM(AC9:AC13)</f>
      </c>
      <c r="AD14" s="126">
        <f>SUM(AD9:AD13)</f>
      </c>
      <c r="AE14" s="126">
        <f>SUM(AE9:AE13)</f>
      </c>
      <c r="AF14" s="126">
        <f>SUM(AF9:AF13)</f>
      </c>
      <c r="AG14" s="126">
        <f>SUM(AG9:AG13)</f>
      </c>
      <c r="AH14" s="123">
        <f>SUM(C14:AG14)</f>
      </c>
      <c r="AI14" s="5"/>
      <c r="AJ14" s="127"/>
      <c r="AK14" s="128"/>
      <c r="AL14" s="93"/>
      <c r="AM14" s="73"/>
      <c r="AN14" s="93"/>
    </row>
    <row x14ac:dyDescent="0.25" r="15" customHeight="1" ht="18.75">
      <c r="A15" s="59"/>
      <c r="B15" s="129" t="s">
        <v>43</v>
      </c>
      <c r="C15" s="130">
        <f>SUM(C3:C7,C9:C13)</f>
      </c>
      <c r="D15" s="130">
        <f>SUM(D3:D7,D9:D13)</f>
      </c>
      <c r="E15" s="130">
        <f>SUM(E3:E7,E9:E13)</f>
      </c>
      <c r="F15" s="130">
        <f>SUM(F3:F7,F9:F13)</f>
      </c>
      <c r="G15" s="130">
        <f>SUM(G3:G7,G9:G13)</f>
      </c>
      <c r="H15" s="130">
        <f>SUM(H3:H7,H9:H13)</f>
      </c>
      <c r="I15" s="130">
        <f>SUM(I3:I7,I9:I13)</f>
      </c>
      <c r="J15" s="130">
        <f>SUM(J3:J7,J9:J13)</f>
      </c>
      <c r="K15" s="130">
        <f>SUM(K3:K7,K9:K13)</f>
      </c>
      <c r="L15" s="130">
        <f>SUM(L3:L7,L9:L13)</f>
      </c>
      <c r="M15" s="130">
        <f>SUM(M3:M7,M9:M13)</f>
      </c>
      <c r="N15" s="130">
        <f>SUM(N3:N7,N9:N13)</f>
      </c>
      <c r="O15" s="130">
        <f>SUM(O3:O7,O9:O13)</f>
      </c>
      <c r="P15" s="130">
        <f>SUM(P3:P7,P9:P13)</f>
      </c>
      <c r="Q15" s="130">
        <f>SUM(Q3:Q7,Q9:Q13)</f>
      </c>
      <c r="R15" s="130">
        <f>SUM(R3:R7,R9:R13)</f>
      </c>
      <c r="S15" s="130">
        <f>SUM(S3:S7,S9:S13)</f>
      </c>
      <c r="T15" s="130">
        <f>SUM(T3:T7,T9:T13)</f>
      </c>
      <c r="U15" s="130">
        <f>SUM(U3:U7,U9:U13)</f>
      </c>
      <c r="V15" s="130">
        <f>SUM(V3:V7,V9:V13)</f>
      </c>
      <c r="W15" s="130">
        <f>SUM(W3:W7,W9:W13)</f>
      </c>
      <c r="X15" s="130">
        <f>SUM(X3:X7,X9:X13)</f>
      </c>
      <c r="Y15" s="130">
        <f>SUM(Y3:Y7,Y9:Y13)</f>
      </c>
      <c r="Z15" s="130">
        <f>SUM(Z3:Z7,Z9:Z13)</f>
      </c>
      <c r="AA15" s="130">
        <f>SUM(AA3:AA7,AA9:AA13)</f>
      </c>
      <c r="AB15" s="130">
        <f>SUM(AB3:AB7,AB9:AB13)</f>
      </c>
      <c r="AC15" s="130">
        <f>SUM(AC3:AC7,AC9:AC13)</f>
      </c>
      <c r="AD15" s="130">
        <f>SUM(AD3:AD7,AD9:AD13)</f>
      </c>
      <c r="AE15" s="130">
        <f>SUM(AE3:AE7,AE9:AE13)</f>
      </c>
      <c r="AF15" s="130">
        <f>SUM(AF3:AF7,AF9:AF13)</f>
      </c>
      <c r="AG15" s="130">
        <f>SUM(AG3:AG7,AG9:AG13)</f>
      </c>
      <c r="AH15" s="131">
        <f>SUM(C15:AG15)</f>
      </c>
      <c r="AI15" s="5"/>
      <c r="AJ15" s="132"/>
      <c r="AK15" s="11" t="s">
        <v>43</v>
      </c>
      <c r="AL15" s="93"/>
      <c r="AM15" s="73"/>
      <c r="AN15" s="93"/>
    </row>
    <row x14ac:dyDescent="0.25" r="16" customHeight="1" ht="18.75">
      <c r="A16" s="26"/>
      <c r="B16" s="133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5"/>
      <c r="AI16" s="5"/>
      <c r="AJ16" s="136"/>
      <c r="AK16" s="133"/>
      <c r="AL16" s="93"/>
      <c r="AM16" s="73"/>
      <c r="AN16" s="93"/>
    </row>
    <row x14ac:dyDescent="0.25" r="17" customHeight="1" ht="18.75">
      <c r="A17" s="137"/>
      <c r="B17" s="138"/>
      <c r="C17" s="139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1"/>
      <c r="AI17" s="5"/>
      <c r="AJ17" s="142" t="s">
        <v>133</v>
      </c>
      <c r="AK17" s="143"/>
      <c r="AL17" s="144"/>
      <c r="AM17" s="145"/>
      <c r="AN17" s="93"/>
    </row>
    <row x14ac:dyDescent="0.25" r="18" customHeight="1" ht="18.75">
      <c r="A18" s="146">
        <f>'[1]TEMP Summary'!A12</f>
      </c>
      <c r="B18" s="147" t="s">
        <v>134</v>
      </c>
      <c r="C18" s="148">
        <v>401.78</v>
      </c>
      <c r="D18" s="116">
        <v>105</v>
      </c>
      <c r="E18" s="116">
        <v>180.66</v>
      </c>
      <c r="F18" s="116">
        <v>610.95</v>
      </c>
      <c r="G18" s="116">
        <v>342.1</v>
      </c>
      <c r="H18" s="116">
        <v>342.14</v>
      </c>
      <c r="I18" s="116">
        <v>510.44</v>
      </c>
      <c r="J18" s="116">
        <v>592.31</v>
      </c>
      <c r="K18" s="116">
        <v>349.7</v>
      </c>
      <c r="L18" s="116">
        <v>416.19</v>
      </c>
      <c r="M18" s="116">
        <v>281.09</v>
      </c>
      <c r="N18" s="116">
        <v>378.85</v>
      </c>
      <c r="O18" s="116">
        <v>426.9</v>
      </c>
      <c r="P18" s="116">
        <v>850.84</v>
      </c>
      <c r="Q18" s="116">
        <v>740.5</v>
      </c>
      <c r="R18" s="116">
        <v>576.24</v>
      </c>
      <c r="S18" s="116">
        <v>387.03</v>
      </c>
      <c r="T18" s="116">
        <v>295.45</v>
      </c>
      <c r="U18" s="116">
        <v>562.92</v>
      </c>
      <c r="V18" s="116">
        <v>473.51</v>
      </c>
      <c r="W18" s="116">
        <v>957.84</v>
      </c>
      <c r="X18" s="116">
        <v>860.78</v>
      </c>
      <c r="Y18" s="116">
        <v>474.23</v>
      </c>
      <c r="Z18" s="116">
        <v>602.87</v>
      </c>
      <c r="AA18" s="116">
        <v>718.01</v>
      </c>
      <c r="AB18" s="116">
        <v>657.69</v>
      </c>
      <c r="AC18" s="116">
        <v>850.08</v>
      </c>
      <c r="AD18" s="116">
        <v>515.35</v>
      </c>
      <c r="AE18" s="116">
        <f>1132.23+187</f>
      </c>
      <c r="AF18" s="116">
        <v>731.72</v>
      </c>
      <c r="AG18" s="149">
        <v>690.16</v>
      </c>
      <c r="AH18" s="150">
        <f>SUM(C18:AG18)</f>
      </c>
      <c r="AI18" s="5"/>
      <c r="AJ18" s="151" t="s">
        <v>126</v>
      </c>
      <c r="AK18" s="152" t="s">
        <v>86</v>
      </c>
      <c r="AL18" s="153" t="s">
        <v>135</v>
      </c>
      <c r="AM18" s="154" t="s">
        <v>136</v>
      </c>
      <c r="AN18" s="93"/>
    </row>
    <row x14ac:dyDescent="0.25" r="19" customHeight="1" ht="18.75">
      <c r="A19" s="155">
        <f>'[1]TEMP Summary'!A13</f>
      </c>
      <c r="B19" s="156" t="s">
        <v>137</v>
      </c>
      <c r="C19" s="157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>
        <v>548.64</v>
      </c>
      <c r="AE19" s="108">
        <v>832.9</v>
      </c>
      <c r="AF19" s="108">
        <v>473.19</v>
      </c>
      <c r="AG19" s="158">
        <v>263.11</v>
      </c>
      <c r="AH19" s="159">
        <f>SUM(C19:AG19)</f>
      </c>
      <c r="AI19" s="5"/>
      <c r="AJ19" s="160"/>
      <c r="AK19" s="161"/>
      <c r="AL19" s="162"/>
      <c r="AM19" s="163"/>
      <c r="AN19" s="93"/>
    </row>
    <row x14ac:dyDescent="0.25" r="20" customHeight="1" ht="18.75">
      <c r="A20" s="155">
        <f>'[1]TEMP Summary'!A14</f>
      </c>
      <c r="B20" s="156" t="s">
        <v>138</v>
      </c>
      <c r="C20" s="157">
        <v>409</v>
      </c>
      <c r="D20" s="108">
        <v>147.17</v>
      </c>
      <c r="E20" s="108">
        <v>227.84</v>
      </c>
      <c r="F20" s="108">
        <v>149.6</v>
      </c>
      <c r="G20" s="108">
        <v>233.95</v>
      </c>
      <c r="H20" s="108">
        <v>465.69</v>
      </c>
      <c r="I20" s="108">
        <v>465.43</v>
      </c>
      <c r="J20" s="108">
        <v>731.25</v>
      </c>
      <c r="K20" s="108">
        <v>148.97</v>
      </c>
      <c r="L20" s="108">
        <v>166.26</v>
      </c>
      <c r="M20" s="108">
        <v>505.24</v>
      </c>
      <c r="N20" s="108">
        <v>373.75</v>
      </c>
      <c r="O20" s="108">
        <v>411.43</v>
      </c>
      <c r="P20" s="108">
        <v>1041.52</v>
      </c>
      <c r="Q20" s="108">
        <v>712.69</v>
      </c>
      <c r="R20" s="108">
        <v>368.91</v>
      </c>
      <c r="S20" s="108">
        <v>450.53</v>
      </c>
      <c r="T20" s="108">
        <v>393.72</v>
      </c>
      <c r="U20" s="108">
        <v>444.91</v>
      </c>
      <c r="V20" s="108">
        <v>449.51</v>
      </c>
      <c r="W20" s="108">
        <v>626.01</v>
      </c>
      <c r="X20" s="108">
        <v>927.58</v>
      </c>
      <c r="Y20" s="164">
        <v>559.11</v>
      </c>
      <c r="Z20" s="164">
        <v>571.49</v>
      </c>
      <c r="AA20" s="164">
        <f>550.33+150</f>
      </c>
      <c r="AB20" s="164">
        <v>608.33</v>
      </c>
      <c r="AC20" s="164">
        <v>662.44</v>
      </c>
      <c r="AD20" s="164">
        <v>1510.51</v>
      </c>
      <c r="AE20" s="164">
        <v>1247.15</v>
      </c>
      <c r="AF20" s="164">
        <v>1194.83</v>
      </c>
      <c r="AG20" s="158">
        <v>764.72</v>
      </c>
      <c r="AH20" s="159">
        <f>SUM(C20:AG20)</f>
      </c>
      <c r="AI20" s="5"/>
      <c r="AJ20" s="165" t="s">
        <v>64</v>
      </c>
      <c r="AK20" s="11" t="s">
        <v>139</v>
      </c>
      <c r="AL20" s="166">
        <f>SUM(C18:AF19)-187</f>
      </c>
      <c r="AM20" s="167">
        <f>SUM(AG18:AG19)+187</f>
      </c>
      <c r="AN20" s="93"/>
    </row>
    <row x14ac:dyDescent="0.25" r="21" customHeight="1" ht="15">
      <c r="A21" s="155">
        <f>'[1]TEMP Summary'!A15</f>
      </c>
      <c r="B21" s="156" t="s">
        <v>140</v>
      </c>
      <c r="C21" s="15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64">
        <v>650.69</v>
      </c>
      <c r="AE21" s="164">
        <f>875.49</f>
      </c>
      <c r="AF21" s="164">
        <v>449.44</v>
      </c>
      <c r="AG21" s="158">
        <v>270.72</v>
      </c>
      <c r="AH21" s="159">
        <f>SUM(C21:AG21)</f>
      </c>
      <c r="AI21" s="5"/>
      <c r="AJ21" s="168" t="s">
        <v>64</v>
      </c>
      <c r="AK21" s="16" t="s">
        <v>141</v>
      </c>
      <c r="AL21" s="169">
        <f>SUM(C20:X21)-AL29</f>
      </c>
      <c r="AM21" s="34">
        <f>SUM(Y20:AG21)-AM29</f>
      </c>
      <c r="AN21" s="93"/>
    </row>
    <row x14ac:dyDescent="0.25" r="22" customHeight="1" ht="18.75">
      <c r="A22" s="15" t="s">
        <v>64</v>
      </c>
      <c r="B22" s="156" t="s">
        <v>142</v>
      </c>
      <c r="C22" s="157"/>
      <c r="D22" s="108">
        <v>1</v>
      </c>
      <c r="E22" s="108"/>
      <c r="F22" s="108"/>
      <c r="G22" s="108"/>
      <c r="H22" s="108"/>
      <c r="I22" s="108"/>
      <c r="J22" s="108"/>
      <c r="K22" s="108">
        <v>27</v>
      </c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64"/>
      <c r="AE22" s="164"/>
      <c r="AF22" s="164"/>
      <c r="AG22" s="158"/>
      <c r="AH22" s="159">
        <f>SUM(C22:AG22)</f>
      </c>
      <c r="AI22" s="5"/>
      <c r="AJ22" s="170" t="s">
        <v>64</v>
      </c>
      <c r="AK22" s="46" t="s">
        <v>143</v>
      </c>
      <c r="AL22" s="171">
        <f>SUM(C22:AC23)</f>
      </c>
      <c r="AM22" s="172">
        <f>SUM(AD22:AG23)</f>
      </c>
      <c r="AN22" s="93"/>
    </row>
    <row x14ac:dyDescent="0.25" r="23" customHeight="1" ht="18.75">
      <c r="A23" s="23" t="s">
        <v>64</v>
      </c>
      <c r="B23" s="173" t="s">
        <v>144</v>
      </c>
      <c r="C23" s="174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6"/>
      <c r="AH23" s="177"/>
      <c r="AI23" s="5"/>
      <c r="AJ23" s="170"/>
      <c r="AK23" s="46"/>
      <c r="AL23" s="171"/>
      <c r="AM23" s="172"/>
      <c r="AN23" s="93"/>
    </row>
    <row x14ac:dyDescent="0.25" r="24" customHeight="1" ht="18.75">
      <c r="A24" s="178"/>
      <c r="B24" s="179" t="s">
        <v>81</v>
      </c>
      <c r="C24" s="180">
        <f>SUM(C18:C23)</f>
      </c>
      <c r="D24" s="180">
        <f>SUM(D18:D23)</f>
      </c>
      <c r="E24" s="180">
        <f>SUM(E18:E23)</f>
      </c>
      <c r="F24" s="180">
        <f>SUM(F18:F23)</f>
      </c>
      <c r="G24" s="180">
        <f>SUM(G18:G23)</f>
      </c>
      <c r="H24" s="180">
        <f>SUM(H18:H23)</f>
      </c>
      <c r="I24" s="180">
        <f>SUM(I18:I23)</f>
      </c>
      <c r="J24" s="180">
        <f>SUM(J18:J23)</f>
      </c>
      <c r="K24" s="180">
        <f>SUM(K18:K23)</f>
      </c>
      <c r="L24" s="180">
        <f>SUM(L18:L23)</f>
      </c>
      <c r="M24" s="180">
        <f>SUM(M18:M23)</f>
      </c>
      <c r="N24" s="180">
        <f>SUM(N18:N23)</f>
      </c>
      <c r="O24" s="180">
        <f>SUM(O18:O23)</f>
      </c>
      <c r="P24" s="180">
        <f>SUM(P18:P23)</f>
      </c>
      <c r="Q24" s="180">
        <f>SUM(Q18:Q23)</f>
      </c>
      <c r="R24" s="180">
        <f>SUM(R18:R23)</f>
      </c>
      <c r="S24" s="180">
        <f>SUM(S18:S23)</f>
      </c>
      <c r="T24" s="180">
        <f>SUM(T18:T23)</f>
      </c>
      <c r="U24" s="180">
        <f>SUM(U18:U23)</f>
      </c>
      <c r="V24" s="180">
        <f>SUM(V18:V23)</f>
      </c>
      <c r="W24" s="180">
        <f>SUM(W18:W23)</f>
      </c>
      <c r="X24" s="180">
        <f>SUM(X18:X23)</f>
      </c>
      <c r="Y24" s="181">
        <f>SUM(Y18:Y23)</f>
      </c>
      <c r="Z24" s="181">
        <f>SUM(Z18:Z23)</f>
      </c>
      <c r="AA24" s="181">
        <f>SUM(AA18:AA23)</f>
      </c>
      <c r="AB24" s="181">
        <f>SUM(AB18:AB23)</f>
      </c>
      <c r="AC24" s="181">
        <f>SUM(AC18:AC23)</f>
      </c>
      <c r="AD24" s="181">
        <f>SUM(AD18:AD23)</f>
      </c>
      <c r="AE24" s="181">
        <f>SUM(AE18:AE23)</f>
      </c>
      <c r="AF24" s="181">
        <f>SUM(AF18:AF23)</f>
      </c>
      <c r="AG24" s="181">
        <f>SUM(AG18:AG23)</f>
      </c>
      <c r="AH24" s="177">
        <f>SUM(C24:AG24)</f>
      </c>
      <c r="AI24" s="5"/>
      <c r="AJ24" s="182" t="s">
        <v>101</v>
      </c>
      <c r="AK24" s="24" t="s">
        <v>145</v>
      </c>
      <c r="AL24" s="171">
        <f>SUM(AH26:AH27)</f>
      </c>
      <c r="AM24" s="172"/>
      <c r="AN24" s="93" t="s">
        <v>146</v>
      </c>
    </row>
    <row x14ac:dyDescent="0.25" r="25" customHeight="1" ht="18.75">
      <c r="A25" s="183"/>
      <c r="B25" s="184"/>
      <c r="C25" s="185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7"/>
      <c r="AI25" s="5"/>
      <c r="AJ25" s="188" t="s">
        <v>118</v>
      </c>
      <c r="AK25" s="189"/>
      <c r="AL25" s="190">
        <f>SUM(AL20:AM24)</f>
      </c>
      <c r="AM25" s="191"/>
      <c r="AN25" s="80">
        <f>AL25-AH24</f>
      </c>
    </row>
    <row x14ac:dyDescent="0.25" r="26" customHeight="1" ht="18.75">
      <c r="A26" s="192"/>
      <c r="B26" s="129" t="s">
        <v>147</v>
      </c>
      <c r="C26" s="130">
        <f>SUM(C3:C7)-(C18+C20+C22)</f>
      </c>
      <c r="D26" s="130">
        <f>SUM(D3:D7)-(D18+D20+D22)</f>
      </c>
      <c r="E26" s="130">
        <f>SUM(E3:E7)-(E18+E20+E22)</f>
      </c>
      <c r="F26" s="130">
        <f>SUM(F3:F7)-(F18+F20+F22)</f>
      </c>
      <c r="G26" s="130">
        <f>SUM(G3:G7)-(G18+G20+G22)</f>
      </c>
      <c r="H26" s="130">
        <f>SUM(H3:H7)-(H18+H20+H22)</f>
      </c>
      <c r="I26" s="130">
        <f>SUM(I3:I7)-(I18+I20+I22)</f>
      </c>
      <c r="J26" s="130">
        <f>SUM(J3:J7)-(J18+J20+J22)</f>
      </c>
      <c r="K26" s="130">
        <f>SUM(K3:K7)-(K18+K20+K22)</f>
      </c>
      <c r="L26" s="130">
        <f>SUM(L3:L7)-(L18+L20+L22)</f>
      </c>
      <c r="M26" s="130">
        <f>SUM(M3:M7)-(M18+M20+M22)</f>
      </c>
      <c r="N26" s="130">
        <f>SUM(N3:N7)-(N18+N20+N22)</f>
      </c>
      <c r="O26" s="130">
        <f>SUM(O3:O7)-(O18+O20+O22)</f>
      </c>
      <c r="P26" s="130">
        <f>SUM(P3:P7)-(P18+P20+P22)</f>
      </c>
      <c r="Q26" s="130">
        <f>SUM(Q3:Q7)-(Q18+Q20+Q22)</f>
      </c>
      <c r="R26" s="130">
        <f>SUM(R3:R7)-(R18+R20+R22)</f>
      </c>
      <c r="S26" s="130">
        <f>SUM(S3:S7)-(S18+S20+S22)</f>
      </c>
      <c r="T26" s="130">
        <f>SUM(T3:T7)-(T18+T20+T22)</f>
      </c>
      <c r="U26" s="130">
        <f>SUM(U3:U7)-(U18+U20+U22)</f>
      </c>
      <c r="V26" s="130">
        <f>SUM(V3:V7)-(V18+V20+V22)</f>
      </c>
      <c r="W26" s="130">
        <f>SUM(W3:W7)-(W18+W20+W22)</f>
      </c>
      <c r="X26" s="130">
        <f>SUM(X3:X7)-(X18+X20+X22)</f>
      </c>
      <c r="Y26" s="130">
        <f>SUM(Y3:Y7)-(Y18+Y20+Y22)</f>
      </c>
      <c r="Z26" s="130">
        <f>SUM(Z3:Z7)-(Z18+Z20+Z22)</f>
      </c>
      <c r="AA26" s="130">
        <f>SUM(AA3:AA7)-(AA18+AA20+AA22)</f>
      </c>
      <c r="AB26" s="130">
        <f>SUM(AB3:AB7)-(AB18+AB20+AB22)</f>
      </c>
      <c r="AC26" s="130">
        <f>SUM(AC3:AC7)-(AC18+AC20+AC22)</f>
      </c>
      <c r="AD26" s="130">
        <f>SUM(AD3:AD7)-(AD18+AD20+AD22)</f>
      </c>
      <c r="AE26" s="130">
        <f>SUM(AE3:AE7)-(AE18+AE20+AE22)</f>
      </c>
      <c r="AF26" s="130">
        <f>SUM(AF3:AF7)-(AF18+AF20+AF22)</f>
      </c>
      <c r="AG26" s="130">
        <f>SUM(AG3:AG7)-(AG18+AG20+AG22)</f>
      </c>
      <c r="AH26" s="193">
        <f>SUM(C26:AG26)</f>
      </c>
      <c r="AI26" s="5"/>
      <c r="AJ26" s="72"/>
      <c r="AK26" s="5"/>
      <c r="AL26" s="93"/>
      <c r="AM26" s="73"/>
      <c r="AN26" s="93"/>
    </row>
    <row x14ac:dyDescent="0.25" r="27" customHeight="1" ht="18.75">
      <c r="A27" s="194"/>
      <c r="B27" s="76" t="s">
        <v>148</v>
      </c>
      <c r="C27" s="195">
        <f>SUM(C9:C13)-(C19+C21+C23)</f>
      </c>
      <c r="D27" s="195">
        <f>SUM(D9:D13)-(D19+D21+D23)</f>
      </c>
      <c r="E27" s="195">
        <f>SUM(E9:E13)-(E19+E21+E23)</f>
      </c>
      <c r="F27" s="195">
        <f>SUM(F9:F13)-(F19+F21+F23)</f>
      </c>
      <c r="G27" s="195">
        <f>SUM(G9:G13)-(G19+G21+G23)</f>
      </c>
      <c r="H27" s="195">
        <f>SUM(H9:H13)-(H19+H21+H23)</f>
      </c>
      <c r="I27" s="195">
        <f>SUM(I9:I13)-(I19+I21+I23)</f>
      </c>
      <c r="J27" s="195">
        <f>SUM(J9:J13)-(J19+J21+J23)</f>
      </c>
      <c r="K27" s="195">
        <f>SUM(K9:K13)-(K19+K21+K23)</f>
      </c>
      <c r="L27" s="195">
        <f>SUM(L9:L13)-(L19+L21+L23)</f>
      </c>
      <c r="M27" s="195">
        <f>SUM(M9:M13)-(M19+M21+M23)</f>
      </c>
      <c r="N27" s="195">
        <f>SUM(N9:N13)-(N19+N21+N23)</f>
      </c>
      <c r="O27" s="195">
        <f>SUM(O9:O13)-(O19+O21+O23)</f>
      </c>
      <c r="P27" s="195">
        <f>SUM(P9:P13)-(P19+P21+P23)</f>
      </c>
      <c r="Q27" s="195">
        <f>SUM(Q9:Q13)-(Q19+Q21+Q23)</f>
      </c>
      <c r="R27" s="195">
        <f>SUM(R9:R13)-(R19+R21+R23)</f>
      </c>
      <c r="S27" s="195">
        <f>SUM(S9:S13)-(S19+S21+S23)</f>
      </c>
      <c r="T27" s="195">
        <f>SUM(T9:T13)-(T19+T21+T23)</f>
      </c>
      <c r="U27" s="195">
        <f>SUM(U9:U13)-(U19+U21+U23)</f>
      </c>
      <c r="V27" s="195">
        <f>SUM(V9:V13)-(V19+V21+V23)</f>
      </c>
      <c r="W27" s="195">
        <f>SUM(W9:W13)-(W19+W21+W23)</f>
      </c>
      <c r="X27" s="195">
        <f>SUM(X9:X13)-(X19+X21+X23)</f>
      </c>
      <c r="Y27" s="195">
        <f>SUM(Y9:Y13)-(Y19+Y21+Y23)</f>
      </c>
      <c r="Z27" s="195">
        <f>SUM(Z9:Z13)-(Z19+Z21+Z23)</f>
      </c>
      <c r="AA27" s="195">
        <f>SUM(AA9:AA13)-(AA19+AA21+AA23)</f>
      </c>
      <c r="AB27" s="195">
        <f>SUM(AB9:AB13)-(AB19+AB21+AB23)</f>
      </c>
      <c r="AC27" s="195">
        <f>SUM(AC9:AC13)-(AC19+AC21+AC23)</f>
      </c>
      <c r="AD27" s="195">
        <f>SUM(AD9:AD13)-(AD19+AD21+AD23)</f>
      </c>
      <c r="AE27" s="195">
        <f>SUM(AE9:AE13)-(AE19+AE21+AE23)</f>
      </c>
      <c r="AF27" s="195">
        <f>SUM(AF9:AF13)-(AF19+AF21+AF23)</f>
      </c>
      <c r="AG27" s="195">
        <f>SUM(AG9:AG13)-(AG19+AG21+AG23)</f>
      </c>
      <c r="AH27" s="196">
        <f>SUM(C27:AG27)</f>
      </c>
      <c r="AI27" s="5"/>
      <c r="AJ27" s="72"/>
      <c r="AK27" s="5"/>
      <c r="AL27" s="93"/>
      <c r="AM27" s="73"/>
      <c r="AN27" s="93"/>
    </row>
    <row x14ac:dyDescent="0.25" r="28" customHeight="1" ht="18.75">
      <c r="A28" s="197"/>
      <c r="B28" s="197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9"/>
      <c r="AI28" s="5"/>
      <c r="AJ28" s="72"/>
      <c r="AK28" s="5"/>
      <c r="AL28" s="93"/>
      <c r="AM28" s="73"/>
      <c r="AN28" s="93"/>
    </row>
    <row x14ac:dyDescent="0.25" r="29" customHeight="1" ht="18.75">
      <c r="A29" s="200" t="s">
        <v>109</v>
      </c>
      <c r="B29" s="201" t="s">
        <v>149</v>
      </c>
      <c r="C29" s="180">
        <v>12.27</v>
      </c>
      <c r="D29" s="180">
        <v>4.43</v>
      </c>
      <c r="E29" s="180">
        <v>6.84</v>
      </c>
      <c r="F29" s="180">
        <v>4.48</v>
      </c>
      <c r="G29" s="180">
        <v>7.13</v>
      </c>
      <c r="H29" s="180">
        <v>13.96</v>
      </c>
      <c r="I29" s="180">
        <v>13.96</v>
      </c>
      <c r="J29" s="180">
        <v>21.94</v>
      </c>
      <c r="K29" s="180">
        <v>4.47</v>
      </c>
      <c r="L29" s="180">
        <v>4.99</v>
      </c>
      <c r="M29" s="180">
        <v>15.16</v>
      </c>
      <c r="N29" s="180">
        <v>11.2</v>
      </c>
      <c r="O29" s="180">
        <v>12.33</v>
      </c>
      <c r="P29" s="180">
        <v>31.24</v>
      </c>
      <c r="Q29" s="180">
        <v>21.38</v>
      </c>
      <c r="R29" s="180">
        <v>11.07</v>
      </c>
      <c r="S29" s="180">
        <v>13.52</v>
      </c>
      <c r="T29" s="180">
        <v>11.81</v>
      </c>
      <c r="U29" s="180">
        <v>13.34</v>
      </c>
      <c r="V29" s="180">
        <v>13.47</v>
      </c>
      <c r="W29" s="180">
        <v>18.77</v>
      </c>
      <c r="X29" s="180">
        <v>27.83</v>
      </c>
      <c r="Y29" s="202">
        <v>16.77</v>
      </c>
      <c r="Z29" s="202">
        <v>17.12</v>
      </c>
      <c r="AA29" s="202">
        <f>16.52+1.26+3.24</f>
      </c>
      <c r="AB29" s="202">
        <v>18.25</v>
      </c>
      <c r="AC29" s="202">
        <v>19.87</v>
      </c>
      <c r="AD29" s="202">
        <v>64.82</v>
      </c>
      <c r="AE29" s="202">
        <f>62.33+1.35</f>
      </c>
      <c r="AF29" s="202">
        <v>49.35</v>
      </c>
      <c r="AG29" s="202">
        <v>31.05</v>
      </c>
      <c r="AH29" s="203">
        <f>SUM(C29:AG29)</f>
      </c>
      <c r="AI29" s="5"/>
      <c r="AJ29" s="204" t="s">
        <v>109</v>
      </c>
      <c r="AK29" s="205" t="s">
        <v>150</v>
      </c>
      <c r="AL29" s="206">
        <f>SUM(C29:X29)</f>
      </c>
      <c r="AM29" s="207">
        <f>SUM(Y29:AG29)</f>
      </c>
      <c r="AN29" s="93"/>
    </row>
    <row x14ac:dyDescent="0.25" r="30" customHeight="1" ht="18.75">
      <c r="A30" s="5"/>
      <c r="B30" s="133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208"/>
      <c r="AI30" s="5"/>
      <c r="AJ30" s="72"/>
      <c r="AK30" s="5"/>
      <c r="AL30" s="93"/>
      <c r="AM30" s="73"/>
      <c r="AN30" s="93"/>
    </row>
    <row x14ac:dyDescent="0.25" r="31" customHeight="1" ht="18.75">
      <c r="A31" s="209"/>
      <c r="B31" s="210" t="s">
        <v>82</v>
      </c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2"/>
      <c r="AI31" s="5"/>
      <c r="AJ31" s="213" t="s">
        <v>82</v>
      </c>
      <c r="AK31" s="214"/>
      <c r="AL31" s="93"/>
      <c r="AM31" s="73"/>
      <c r="AN31" s="93"/>
    </row>
    <row x14ac:dyDescent="0.25" r="32" customHeight="1" ht="18.75">
      <c r="A32" s="215"/>
      <c r="B32" s="83" t="s">
        <v>112</v>
      </c>
      <c r="C32" s="216">
        <v>134</v>
      </c>
      <c r="D32" s="216">
        <v>48</v>
      </c>
      <c r="E32" s="216">
        <v>58</v>
      </c>
      <c r="F32" s="216">
        <v>52</v>
      </c>
      <c r="G32" s="216">
        <v>73</v>
      </c>
      <c r="H32" s="216">
        <v>100</v>
      </c>
      <c r="I32" s="216">
        <v>140</v>
      </c>
      <c r="J32" s="216">
        <v>178</v>
      </c>
      <c r="K32" s="216">
        <v>66</v>
      </c>
      <c r="L32" s="216">
        <v>81</v>
      </c>
      <c r="M32" s="216">
        <v>102</v>
      </c>
      <c r="N32" s="216">
        <v>87</v>
      </c>
      <c r="O32" s="216">
        <v>110</v>
      </c>
      <c r="P32" s="216">
        <v>230</v>
      </c>
      <c r="Q32" s="216">
        <v>196</v>
      </c>
      <c r="R32" s="216">
        <v>129</v>
      </c>
      <c r="S32" s="216">
        <v>99</v>
      </c>
      <c r="T32" s="216">
        <v>90</v>
      </c>
      <c r="U32" s="216">
        <v>136</v>
      </c>
      <c r="V32" s="216">
        <v>139</v>
      </c>
      <c r="W32" s="216">
        <v>221</v>
      </c>
      <c r="X32" s="216">
        <v>244</v>
      </c>
      <c r="Y32" s="216">
        <v>134</v>
      </c>
      <c r="Z32" s="216">
        <v>119</v>
      </c>
      <c r="AA32" s="216">
        <v>153</v>
      </c>
      <c r="AB32" s="216">
        <v>156</v>
      </c>
      <c r="AC32" s="216">
        <v>220</v>
      </c>
      <c r="AD32" s="216">
        <v>268</v>
      </c>
      <c r="AE32" s="216">
        <v>362</v>
      </c>
      <c r="AF32" s="216">
        <v>240</v>
      </c>
      <c r="AG32" s="216">
        <v>171</v>
      </c>
      <c r="AH32" s="217">
        <f>SUM(C32:AG32)</f>
      </c>
      <c r="AI32" s="5"/>
      <c r="AJ32" s="218">
        <f>AH32+AH39</f>
      </c>
      <c r="AK32" s="219" t="s">
        <v>112</v>
      </c>
      <c r="AL32" s="93"/>
      <c r="AM32" s="73"/>
      <c r="AN32" s="93"/>
    </row>
    <row x14ac:dyDescent="0.25" r="33" customHeight="1" ht="18.75">
      <c r="A33" s="215"/>
      <c r="B33" s="83" t="s">
        <v>113</v>
      </c>
      <c r="C33" s="216">
        <v>16</v>
      </c>
      <c r="D33" s="216">
        <f>'[1]TEMP Summary'!$T$22</f>
      </c>
      <c r="E33" s="216">
        <v>7</v>
      </c>
      <c r="F33" s="216">
        <v>10</v>
      </c>
      <c r="G33" s="216">
        <f>'[1]TEMP Summary'!$T$22</f>
      </c>
      <c r="H33" s="216">
        <v>11</v>
      </c>
      <c r="I33" s="216">
        <v>20</v>
      </c>
      <c r="J33" s="216">
        <v>33</v>
      </c>
      <c r="K33" s="216">
        <v>5</v>
      </c>
      <c r="L33" s="216">
        <v>5</v>
      </c>
      <c r="M33" s="216">
        <v>12</v>
      </c>
      <c r="N33" s="216">
        <v>9</v>
      </c>
      <c r="O33" s="216">
        <v>6</v>
      </c>
      <c r="P33" s="216">
        <v>55</v>
      </c>
      <c r="Q33" s="216">
        <v>43</v>
      </c>
      <c r="R33" s="216">
        <v>18</v>
      </c>
      <c r="S33" s="216">
        <v>16</v>
      </c>
      <c r="T33" s="216">
        <v>4</v>
      </c>
      <c r="U33" s="216">
        <v>2</v>
      </c>
      <c r="V33" s="216">
        <v>12</v>
      </c>
      <c r="W33" s="216">
        <v>34</v>
      </c>
      <c r="X33" s="216">
        <v>44</v>
      </c>
      <c r="Y33" s="216">
        <v>37</v>
      </c>
      <c r="Z33" s="216">
        <v>11</v>
      </c>
      <c r="AA33" s="216">
        <v>24</v>
      </c>
      <c r="AB33" s="216">
        <v>27</v>
      </c>
      <c r="AC33" s="216">
        <v>34</v>
      </c>
      <c r="AD33" s="216">
        <v>114</v>
      </c>
      <c r="AE33" s="216">
        <f>'[1]TEMP Summary'!$T$22</f>
      </c>
      <c r="AF33" s="216">
        <v>89</v>
      </c>
      <c r="AG33" s="216">
        <v>56</v>
      </c>
      <c r="AH33" s="217">
        <f>SUM(C33:AG33)</f>
      </c>
      <c r="AI33" s="5"/>
      <c r="AJ33" s="218">
        <f>AH33+AH40</f>
      </c>
      <c r="AK33" s="219" t="s">
        <v>113</v>
      </c>
      <c r="AL33" s="93"/>
      <c r="AM33" s="73"/>
      <c r="AN33" s="93"/>
    </row>
    <row x14ac:dyDescent="0.25" r="34" customHeight="1" ht="18.75">
      <c r="A34" s="215"/>
      <c r="B34" s="83" t="s">
        <v>114</v>
      </c>
      <c r="C34" s="216">
        <v>5</v>
      </c>
      <c r="D34" s="216">
        <f>'[1]TEMP Summary'!$T$22</f>
      </c>
      <c r="E34" s="216">
        <f>'[1]TEMP Summary'!$T$22</f>
      </c>
      <c r="F34" s="216">
        <v>1</v>
      </c>
      <c r="G34" s="216">
        <f>'[1]TEMP Summary'!$T$22</f>
      </c>
      <c r="H34" s="216">
        <f>'[1]TEMP Summary'!$T$22</f>
      </c>
      <c r="I34" s="216">
        <v>1</v>
      </c>
      <c r="J34" s="216">
        <v>7</v>
      </c>
      <c r="K34" s="216">
        <f>'[1]TEMP Summary'!$T$22</f>
      </c>
      <c r="L34" s="216">
        <f>'[1]TEMP Summary'!$T$22</f>
      </c>
      <c r="M34" s="216">
        <v>4</v>
      </c>
      <c r="N34" s="216">
        <f>'[1]TEMP Summary'!$T$22</f>
      </c>
      <c r="O34" s="216">
        <f>'[1]TEMP Summary'!$T$22</f>
      </c>
      <c r="P34" s="216">
        <f>'[1]TEMP Summary'!$T$22</f>
      </c>
      <c r="Q34" s="216">
        <v>5</v>
      </c>
      <c r="R34" s="216">
        <v>3</v>
      </c>
      <c r="S34" s="216">
        <f>'[1]TEMP Summary'!$T$22</f>
      </c>
      <c r="T34" s="216">
        <f>'[1]TEMP Summary'!$T$22</f>
      </c>
      <c r="U34" s="216">
        <f>'[1]TEMP Summary'!$T$22</f>
      </c>
      <c r="V34" s="216">
        <f>'[1]TEMP Summary'!$T$22</f>
      </c>
      <c r="W34" s="216">
        <f>'[1]TEMP Summary'!$T$22</f>
      </c>
      <c r="X34" s="216">
        <v>9</v>
      </c>
      <c r="Y34" s="216">
        <v>5</v>
      </c>
      <c r="Z34" s="216">
        <f>'[1]TEMP Summary'!$T$22</f>
      </c>
      <c r="AA34" s="216">
        <v>2</v>
      </c>
      <c r="AB34" s="216">
        <v>2</v>
      </c>
      <c r="AC34" s="216">
        <f>'[1]TEMP Summary'!$T$22</f>
      </c>
      <c r="AD34" s="216">
        <v>2</v>
      </c>
      <c r="AE34" s="216">
        <f>'[1]TEMP Summary'!$T$22</f>
      </c>
      <c r="AF34" s="216">
        <v>6</v>
      </c>
      <c r="AG34" s="216">
        <f>'[1]TEMP Summary'!$T$22</f>
      </c>
      <c r="AH34" s="217">
        <f>SUM(C34:AG34)</f>
      </c>
      <c r="AI34" s="5"/>
      <c r="AJ34" s="218">
        <f>AH34+AH41</f>
      </c>
      <c r="AK34" s="219" t="s">
        <v>114</v>
      </c>
      <c r="AL34" s="93"/>
      <c r="AM34" s="73"/>
      <c r="AN34" s="93"/>
    </row>
    <row x14ac:dyDescent="0.25" r="35" customHeight="1" ht="18.75">
      <c r="A35" s="215"/>
      <c r="B35" s="83" t="s">
        <v>115</v>
      </c>
      <c r="C35" s="216">
        <f>'[1]TEMP Summary'!$T$22</f>
      </c>
      <c r="D35" s="216">
        <f>'[1]TEMP Summary'!$T$22</f>
      </c>
      <c r="E35" s="216">
        <f>'[1]TEMP Summary'!$T$22</f>
      </c>
      <c r="F35" s="216">
        <f>'[1]TEMP Summary'!$T$22</f>
      </c>
      <c r="G35" s="216">
        <f>'[1]TEMP Summary'!$T$22</f>
      </c>
      <c r="H35" s="216">
        <f>'[1]TEMP Summary'!$T$22</f>
      </c>
      <c r="I35" s="216">
        <f>'[1]TEMP Summary'!$T$22</f>
      </c>
      <c r="J35" s="216">
        <f>'[1]TEMP Summary'!$T$22</f>
      </c>
      <c r="K35" s="216">
        <f>'[1]TEMP Summary'!$T$22</f>
      </c>
      <c r="L35" s="216"/>
      <c r="M35" s="216">
        <f>'[1]TEMP Summary'!$T$22</f>
      </c>
      <c r="N35" s="216">
        <f>'[1]TEMP Summary'!$T$22</f>
      </c>
      <c r="O35" s="216">
        <f>'[1]TEMP Summary'!$T$22</f>
      </c>
      <c r="P35" s="216">
        <f>'[1]TEMP Summary'!$T$22</f>
      </c>
      <c r="Q35" s="216">
        <f>'[1]TEMP Summary'!$T$22</f>
      </c>
      <c r="R35" s="216">
        <f>'[1]TEMP Summary'!$T$22</f>
      </c>
      <c r="S35" s="216">
        <f>'[1]TEMP Summary'!$T$22</f>
      </c>
      <c r="T35" s="216">
        <f>'[1]TEMP Summary'!$T$22</f>
      </c>
      <c r="U35" s="216">
        <f>'[1]TEMP Summary'!$T$22</f>
      </c>
      <c r="V35" s="216">
        <f>'[1]TEMP Summary'!$T$22</f>
      </c>
      <c r="W35" s="216">
        <f>'[1]TEMP Summary'!$T$22</f>
      </c>
      <c r="X35" s="216">
        <f>'[1]TEMP Summary'!$T$22</f>
      </c>
      <c r="Y35" s="216">
        <f>'[1]TEMP Summary'!$T$22</f>
      </c>
      <c r="Z35" s="216">
        <v>0</v>
      </c>
      <c r="AA35" s="216">
        <v>50</v>
      </c>
      <c r="AB35" s="216">
        <v>0</v>
      </c>
      <c r="AC35" s="216">
        <f>'[1]TEMP Summary'!$T$22</f>
      </c>
      <c r="AD35" s="216">
        <f>'[1]TEMP Summary'!$T$22</f>
      </c>
      <c r="AE35" s="216">
        <f>'[1]TEMP Summary'!$T$22</f>
      </c>
      <c r="AF35" s="216">
        <v>15</v>
      </c>
      <c r="AG35" s="216">
        <f>'[1]TEMP Summary'!$T$22</f>
      </c>
      <c r="AH35" s="217">
        <f>SUM(C35:AG35)</f>
      </c>
      <c r="AI35" s="5"/>
      <c r="AJ35" s="218">
        <f>AH35+AH42</f>
      </c>
      <c r="AK35" s="219" t="s">
        <v>115</v>
      </c>
      <c r="AL35" s="93"/>
      <c r="AM35" s="73"/>
      <c r="AN35" s="93"/>
    </row>
    <row x14ac:dyDescent="0.25" r="36" customHeight="1" ht="18.75">
      <c r="A36" s="215"/>
      <c r="B36" s="83" t="s">
        <v>116</v>
      </c>
      <c r="C36" s="216">
        <v>14</v>
      </c>
      <c r="D36" s="216">
        <v>5</v>
      </c>
      <c r="E36" s="216">
        <v>15</v>
      </c>
      <c r="F36" s="216">
        <v>13</v>
      </c>
      <c r="G36" s="216">
        <v>32</v>
      </c>
      <c r="H36" s="216">
        <v>25</v>
      </c>
      <c r="I36" s="216">
        <v>24</v>
      </c>
      <c r="J36" s="216">
        <v>27</v>
      </c>
      <c r="K36" s="216">
        <v>24</v>
      </c>
      <c r="L36" s="216">
        <v>20</v>
      </c>
      <c r="M36" s="216">
        <v>26</v>
      </c>
      <c r="N36" s="216">
        <v>35</v>
      </c>
      <c r="O36" s="216">
        <v>33</v>
      </c>
      <c r="P36" s="216">
        <v>41</v>
      </c>
      <c r="Q36" s="216">
        <v>46</v>
      </c>
      <c r="R36" s="216">
        <v>32</v>
      </c>
      <c r="S36" s="216">
        <v>47</v>
      </c>
      <c r="T36" s="216">
        <v>36</v>
      </c>
      <c r="U36" s="216">
        <v>48</v>
      </c>
      <c r="V36" s="216">
        <v>30</v>
      </c>
      <c r="W36" s="216">
        <v>51</v>
      </c>
      <c r="X36" s="216">
        <v>41</v>
      </c>
      <c r="Y36" s="216">
        <v>32</v>
      </c>
      <c r="Z36" s="216">
        <v>71</v>
      </c>
      <c r="AA36" s="216">
        <v>57</v>
      </c>
      <c r="AB36" s="216">
        <v>54</v>
      </c>
      <c r="AC36" s="216">
        <v>36</v>
      </c>
      <c r="AD36" s="216">
        <v>42</v>
      </c>
      <c r="AE36" s="216">
        <v>24</v>
      </c>
      <c r="AF36" s="216">
        <v>40</v>
      </c>
      <c r="AG36" s="216">
        <v>55</v>
      </c>
      <c r="AH36" s="217">
        <f>SUM(C36:AG36)</f>
      </c>
      <c r="AI36" s="5"/>
      <c r="AJ36" s="218">
        <f>AH36+AH43</f>
      </c>
      <c r="AK36" s="219" t="s">
        <v>116</v>
      </c>
      <c r="AL36" s="93"/>
      <c r="AM36" s="73"/>
      <c r="AN36" s="93"/>
    </row>
    <row x14ac:dyDescent="0.25" r="37" customHeight="1" ht="18.75">
      <c r="A37" s="215"/>
      <c r="B37" s="83" t="s">
        <v>117</v>
      </c>
      <c r="C37" s="216">
        <v>2</v>
      </c>
      <c r="D37" s="216">
        <v>1</v>
      </c>
      <c r="E37" s="216">
        <f>'[1]TEMP Summary'!$T$22</f>
      </c>
      <c r="F37" s="216">
        <v>0</v>
      </c>
      <c r="G37" s="216">
        <v>1</v>
      </c>
      <c r="H37" s="216">
        <v>1</v>
      </c>
      <c r="I37" s="216">
        <v>1</v>
      </c>
      <c r="J37" s="216">
        <v>6</v>
      </c>
      <c r="K37" s="216">
        <v>5</v>
      </c>
      <c r="L37" s="216">
        <v>4</v>
      </c>
      <c r="M37" s="216">
        <v>4</v>
      </c>
      <c r="N37" s="216">
        <v>7</v>
      </c>
      <c r="O37" s="216">
        <v>8</v>
      </c>
      <c r="P37" s="216">
        <v>4</v>
      </c>
      <c r="Q37" s="216">
        <v>7</v>
      </c>
      <c r="R37" s="216">
        <v>9</v>
      </c>
      <c r="S37" s="216">
        <v>11</v>
      </c>
      <c r="T37" s="216">
        <v>4</v>
      </c>
      <c r="U37" s="216">
        <v>9</v>
      </c>
      <c r="V37" s="216">
        <v>5</v>
      </c>
      <c r="W37" s="216">
        <v>9</v>
      </c>
      <c r="X37" s="216">
        <v>7</v>
      </c>
      <c r="Y37" s="216">
        <v>8</v>
      </c>
      <c r="Z37" s="216">
        <v>10</v>
      </c>
      <c r="AA37" s="216">
        <v>11</v>
      </c>
      <c r="AB37" s="216">
        <v>8</v>
      </c>
      <c r="AC37" s="216">
        <v>1</v>
      </c>
      <c r="AD37" s="216">
        <v>11</v>
      </c>
      <c r="AE37" s="216">
        <f>'[1]TEMP Summary'!$T$22</f>
      </c>
      <c r="AF37" s="216">
        <v>2</v>
      </c>
      <c r="AG37" s="216">
        <v>5</v>
      </c>
      <c r="AH37" s="217">
        <f>SUM(C37:AG37)</f>
      </c>
      <c r="AI37" s="5"/>
      <c r="AJ37" s="218">
        <f>AH37+AH44</f>
      </c>
      <c r="AK37" s="219" t="s">
        <v>117</v>
      </c>
      <c r="AL37" s="93"/>
      <c r="AM37" s="73"/>
      <c r="AN37" s="93"/>
    </row>
    <row x14ac:dyDescent="0.25" r="38" customHeight="1" ht="18.75">
      <c r="A38" s="215"/>
      <c r="B38" s="220" t="s">
        <v>151</v>
      </c>
      <c r="C38" s="221">
        <f>SUM(C32:C37)</f>
      </c>
      <c r="D38" s="221">
        <f>SUM(D32:D37)</f>
      </c>
      <c r="E38" s="221">
        <f>SUM(E32:E37)</f>
      </c>
      <c r="F38" s="221">
        <f>SUM(F32:F37)</f>
      </c>
      <c r="G38" s="221">
        <f>SUM(G32:G37)</f>
      </c>
      <c r="H38" s="221">
        <f>SUM(H32:H37)</f>
      </c>
      <c r="I38" s="221">
        <f>SUM(I32:I37)</f>
      </c>
      <c r="J38" s="221">
        <f>SUM(J32:J37)</f>
      </c>
      <c r="K38" s="221">
        <f>SUM(K32:K37)</f>
      </c>
      <c r="L38" s="221">
        <f>SUM(L32:L37)</f>
      </c>
      <c r="M38" s="221">
        <f>SUM(M32:M37)</f>
      </c>
      <c r="N38" s="221">
        <f>SUM(N32:N37)</f>
      </c>
      <c r="O38" s="221">
        <f>SUM(O32:O37)</f>
      </c>
      <c r="P38" s="221">
        <f>SUM(P32:P37)</f>
      </c>
      <c r="Q38" s="221">
        <f>SUM(Q32:Q37)</f>
      </c>
      <c r="R38" s="221">
        <f>SUM(R32:R37)</f>
      </c>
      <c r="S38" s="221">
        <f>SUM(S32:S37)</f>
      </c>
      <c r="T38" s="221">
        <f>SUM(T32:T37)</f>
      </c>
      <c r="U38" s="221">
        <f>SUM(U32:U37)</f>
      </c>
      <c r="V38" s="221">
        <f>SUM(V32:V37)</f>
      </c>
      <c r="W38" s="221">
        <f>SUM(W32:W37)</f>
      </c>
      <c r="X38" s="221">
        <f>SUM(X32:X37)</f>
      </c>
      <c r="Y38" s="221">
        <f>SUM(Y32:Y37)</f>
      </c>
      <c r="Z38" s="221">
        <f>SUM(Z32:Z37)</f>
      </c>
      <c r="AA38" s="221">
        <f>SUM(AA32:AA37)</f>
      </c>
      <c r="AB38" s="221">
        <f>SUM(AB32:AB37)</f>
      </c>
      <c r="AC38" s="221">
        <f>SUM(AC32:AC37)</f>
      </c>
      <c r="AD38" s="221">
        <f>SUM(AD32:AD37)</f>
      </c>
      <c r="AE38" s="221">
        <f>SUM(AE32:AE37)</f>
      </c>
      <c r="AF38" s="221">
        <f>SUM(AF32:AF37)</f>
      </c>
      <c r="AG38" s="221">
        <f>SUM(AG32:AG37)</f>
      </c>
      <c r="AH38" s="222">
        <f>SUM(C38:AG38)</f>
      </c>
      <c r="AI38" s="5"/>
      <c r="AJ38" s="218"/>
      <c r="AK38" s="219"/>
      <c r="AL38" s="93"/>
      <c r="AM38" s="73"/>
      <c r="AN38" s="93"/>
    </row>
    <row x14ac:dyDescent="0.25" r="39" customHeight="1" ht="18.75">
      <c r="A39" s="215"/>
      <c r="B39" s="83" t="s">
        <v>112</v>
      </c>
      <c r="C39" s="223">
        <f>'[1]TEMP Summary'!$T$22</f>
      </c>
      <c r="D39" s="223">
        <f>'[1]TEMP Summary'!$T$22</f>
      </c>
      <c r="E39" s="223">
        <f>'[1]TEMP Summary'!$T$22</f>
      </c>
      <c r="F39" s="223">
        <f>'[1]TEMP Summary'!$T$22</f>
      </c>
      <c r="G39" s="223">
        <f>'[1]TEMP Summary'!$T$22</f>
      </c>
      <c r="H39" s="223">
        <f>'[1]TEMP Summary'!$T$22</f>
      </c>
      <c r="I39" s="223">
        <f>'[1]TEMP Summary'!$T$22</f>
      </c>
      <c r="J39" s="223">
        <f>'[1]TEMP Summary'!$T$22</f>
      </c>
      <c r="K39" s="223">
        <f>'[1]TEMP Summary'!$T$22</f>
      </c>
      <c r="L39" s="223">
        <f>'[1]TEMP Summary'!$T$22</f>
      </c>
      <c r="M39" s="223">
        <f>'[1]TEMP Summary'!$T$22</f>
      </c>
      <c r="N39" s="223">
        <f>'[1]TEMP Summary'!$T$22</f>
      </c>
      <c r="O39" s="223">
        <f>'[1]TEMP Summary'!$T$22</f>
      </c>
      <c r="P39" s="223">
        <f>'[1]TEMP Summary'!$T$22</f>
      </c>
      <c r="Q39" s="223">
        <f>'[1]TEMP Summary'!$T$22</f>
      </c>
      <c r="R39" s="223">
        <f>'[1]TEMP Summary'!$T$22</f>
      </c>
      <c r="S39" s="223">
        <f>'[1]TEMP Summary'!$T$22</f>
      </c>
      <c r="T39" s="223">
        <f>'[1]TEMP Summary'!$T$22</f>
      </c>
      <c r="U39" s="223">
        <f>'[1]TEMP Summary'!$T$22</f>
      </c>
      <c r="V39" s="223">
        <f>'[1]TEMP Summary'!$T$22</f>
      </c>
      <c r="W39" s="223">
        <f>'[1]TEMP Summary'!$T$22</f>
      </c>
      <c r="X39" s="223">
        <f>'[1]TEMP Summary'!$T$22</f>
      </c>
      <c r="Y39" s="223">
        <f>'[1]TEMP Summary'!$T$22</f>
      </c>
      <c r="Z39" s="223">
        <f>'[1]TEMP Summary'!$T$22</f>
      </c>
      <c r="AA39" s="223">
        <f>'[1]TEMP Summary'!$T$22</f>
      </c>
      <c r="AB39" s="223">
        <f>'[1]TEMP Summary'!$T$22</f>
      </c>
      <c r="AC39" s="223">
        <f>'[1]TEMP Summary'!$T$22</f>
      </c>
      <c r="AD39" s="223">
        <f>457-AD32</f>
      </c>
      <c r="AE39" s="223">
        <f>562-AE32</f>
      </c>
      <c r="AF39" s="223">
        <f>367-AF32</f>
      </c>
      <c r="AG39" s="224">
        <f>245-AG32</f>
      </c>
      <c r="AH39" s="225">
        <f>SUM(C39:AG39)</f>
      </c>
      <c r="AI39" s="5"/>
      <c r="AJ39" s="218"/>
      <c r="AK39" s="219"/>
      <c r="AL39" s="93"/>
      <c r="AM39" s="73"/>
      <c r="AN39" s="93"/>
    </row>
    <row x14ac:dyDescent="0.25" r="40" customHeight="1" ht="18.75">
      <c r="A40" s="215"/>
      <c r="B40" s="83" t="s">
        <v>113</v>
      </c>
      <c r="C40" s="216">
        <f>'[1]TEMP Summary'!$T$22</f>
      </c>
      <c r="D40" s="216">
        <f>'[1]TEMP Summary'!$T$22</f>
      </c>
      <c r="E40" s="216">
        <f>'[1]TEMP Summary'!$T$22</f>
      </c>
      <c r="F40" s="216">
        <f>'[1]TEMP Summary'!$T$22</f>
      </c>
      <c r="G40" s="216">
        <f>'[1]TEMP Summary'!$T$22</f>
      </c>
      <c r="H40" s="216">
        <f>'[1]TEMP Summary'!$T$22</f>
      </c>
      <c r="I40" s="216">
        <f>'[1]TEMP Summary'!$T$22</f>
      </c>
      <c r="J40" s="216">
        <f>'[1]TEMP Summary'!$T$22</f>
      </c>
      <c r="K40" s="216">
        <f>'[1]TEMP Summary'!$T$22</f>
      </c>
      <c r="L40" s="216">
        <f>'[1]TEMP Summary'!$T$22</f>
      </c>
      <c r="M40" s="216">
        <f>'[1]TEMP Summary'!$T$22</f>
      </c>
      <c r="N40" s="216">
        <f>'[1]TEMP Summary'!$T$22</f>
      </c>
      <c r="O40" s="216">
        <f>'[1]TEMP Summary'!$T$22</f>
      </c>
      <c r="P40" s="216">
        <f>'[1]TEMP Summary'!$T$22</f>
      </c>
      <c r="Q40" s="216">
        <f>'[1]TEMP Summary'!$T$22</f>
      </c>
      <c r="R40" s="216">
        <f>'[1]TEMP Summary'!$T$22</f>
      </c>
      <c r="S40" s="216">
        <f>'[1]TEMP Summary'!$T$22</f>
      </c>
      <c r="T40" s="216">
        <f>'[1]TEMP Summary'!$T$22</f>
      </c>
      <c r="U40" s="216">
        <f>'[1]TEMP Summary'!$T$22</f>
      </c>
      <c r="V40" s="216">
        <f>'[1]TEMP Summary'!$T$22</f>
      </c>
      <c r="W40" s="216">
        <f>'[1]TEMP Summary'!$T$22</f>
      </c>
      <c r="X40" s="216">
        <f>'[1]TEMP Summary'!$T$22</f>
      </c>
      <c r="Y40" s="216">
        <f>'[1]TEMP Summary'!$T$22</f>
      </c>
      <c r="Z40" s="216">
        <f>'[1]TEMP Summary'!$T$22</f>
      </c>
      <c r="AA40" s="216">
        <f>'[1]TEMP Summary'!$T$22</f>
      </c>
      <c r="AB40" s="216">
        <f>'[1]TEMP Summary'!$T$22</f>
      </c>
      <c r="AC40" s="216">
        <f>'[1]TEMP Summary'!$T$22</f>
      </c>
      <c r="AD40" s="216">
        <f>161-AD33</f>
      </c>
      <c r="AE40" s="216">
        <v>167</v>
      </c>
      <c r="AF40" s="216">
        <f>122-AF33</f>
      </c>
      <c r="AG40" s="84">
        <f>75-AG33</f>
      </c>
      <c r="AH40" s="225">
        <f>SUM(C40:AG40)</f>
      </c>
      <c r="AI40" s="5"/>
      <c r="AJ40" s="218"/>
      <c r="AK40" s="219"/>
      <c r="AL40" s="93"/>
      <c r="AM40" s="73"/>
      <c r="AN40" s="93"/>
    </row>
    <row x14ac:dyDescent="0.25" r="41" customHeight="1" ht="18.75">
      <c r="A41" s="215"/>
      <c r="B41" s="83" t="s">
        <v>114</v>
      </c>
      <c r="C41" s="216">
        <f>'[1]TEMP Summary'!$T$22</f>
      </c>
      <c r="D41" s="216">
        <f>'[1]TEMP Summary'!$T$22</f>
      </c>
      <c r="E41" s="216">
        <f>'[1]TEMP Summary'!$T$22</f>
      </c>
      <c r="F41" s="216">
        <f>'[1]TEMP Summary'!$T$22</f>
      </c>
      <c r="G41" s="216">
        <f>'[1]TEMP Summary'!$T$22</f>
      </c>
      <c r="H41" s="216">
        <f>'[1]TEMP Summary'!$T$22</f>
      </c>
      <c r="I41" s="216">
        <f>'[1]TEMP Summary'!$T$22</f>
      </c>
      <c r="J41" s="216">
        <f>'[1]TEMP Summary'!$T$22</f>
      </c>
      <c r="K41" s="216">
        <f>'[1]TEMP Summary'!$T$22</f>
      </c>
      <c r="L41" s="216">
        <f>'[1]TEMP Summary'!$T$22</f>
      </c>
      <c r="M41" s="216">
        <f>'[1]TEMP Summary'!$T$22</f>
      </c>
      <c r="N41" s="216">
        <f>'[1]TEMP Summary'!$T$22</f>
      </c>
      <c r="O41" s="216">
        <f>'[1]TEMP Summary'!$T$22</f>
      </c>
      <c r="P41" s="216">
        <f>'[1]TEMP Summary'!$T$22</f>
      </c>
      <c r="Q41" s="216">
        <f>'[1]TEMP Summary'!$T$22</f>
      </c>
      <c r="R41" s="216">
        <f>'[1]TEMP Summary'!$T$22</f>
      </c>
      <c r="S41" s="216">
        <f>'[1]TEMP Summary'!$T$22</f>
      </c>
      <c r="T41" s="216">
        <f>'[1]TEMP Summary'!$T$22</f>
      </c>
      <c r="U41" s="216">
        <f>'[1]TEMP Summary'!$T$22</f>
      </c>
      <c r="V41" s="216">
        <f>'[1]TEMP Summary'!$T$22</f>
      </c>
      <c r="W41" s="216">
        <f>'[1]TEMP Summary'!$T$22</f>
      </c>
      <c r="X41" s="216">
        <f>'[1]TEMP Summary'!$T$22</f>
      </c>
      <c r="Y41" s="216">
        <f>'[1]TEMP Summary'!$T$22</f>
      </c>
      <c r="Z41" s="216">
        <f>'[1]TEMP Summary'!$T$22</f>
      </c>
      <c r="AA41" s="216">
        <f>'[1]TEMP Summary'!$T$22</f>
      </c>
      <c r="AB41" s="216">
        <f>'[1]TEMP Summary'!$T$22</f>
      </c>
      <c r="AC41" s="216">
        <f>'[1]TEMP Summary'!$T$22</f>
      </c>
      <c r="AD41" s="216">
        <f>3-AD34</f>
      </c>
      <c r="AE41" s="216">
        <v>23</v>
      </c>
      <c r="AF41" s="216">
        <v>0</v>
      </c>
      <c r="AG41" s="84">
        <f>'[1]TEMP Summary'!$T$22</f>
      </c>
      <c r="AH41" s="225">
        <f>SUM(C41:AG41)</f>
      </c>
      <c r="AI41" s="5"/>
      <c r="AJ41" s="218"/>
      <c r="AK41" s="219"/>
      <c r="AL41" s="93"/>
      <c r="AM41" s="73"/>
      <c r="AN41" s="93"/>
    </row>
    <row x14ac:dyDescent="0.25" r="42" customHeight="1" ht="18.75">
      <c r="A42" s="215"/>
      <c r="B42" s="83" t="s">
        <v>115</v>
      </c>
      <c r="C42" s="216">
        <f>'[1]TEMP Summary'!$T$22</f>
      </c>
      <c r="D42" s="216">
        <f>'[1]TEMP Summary'!$T$22</f>
      </c>
      <c r="E42" s="216">
        <f>'[1]TEMP Summary'!$T$22</f>
      </c>
      <c r="F42" s="216">
        <f>'[1]TEMP Summary'!$T$22</f>
      </c>
      <c r="G42" s="216">
        <f>'[1]TEMP Summary'!$T$22</f>
      </c>
      <c r="H42" s="216">
        <f>'[1]TEMP Summary'!$T$22</f>
      </c>
      <c r="I42" s="216">
        <f>'[1]TEMP Summary'!$T$22</f>
      </c>
      <c r="J42" s="216">
        <f>'[1]TEMP Summary'!$T$22</f>
      </c>
      <c r="K42" s="216">
        <f>'[1]TEMP Summary'!$T$22</f>
      </c>
      <c r="L42" s="216">
        <f>'[1]TEMP Summary'!$T$22</f>
      </c>
      <c r="M42" s="216">
        <f>'[1]TEMP Summary'!$T$22</f>
      </c>
      <c r="N42" s="216">
        <f>'[1]TEMP Summary'!$T$22</f>
      </c>
      <c r="O42" s="216">
        <f>'[1]TEMP Summary'!$T$22</f>
      </c>
      <c r="P42" s="216">
        <f>'[1]TEMP Summary'!$T$22</f>
      </c>
      <c r="Q42" s="216">
        <f>'[1]TEMP Summary'!$T$22</f>
      </c>
      <c r="R42" s="216">
        <f>'[1]TEMP Summary'!$T$22</f>
      </c>
      <c r="S42" s="216">
        <f>'[1]TEMP Summary'!$T$22</f>
      </c>
      <c r="T42" s="216">
        <f>'[1]TEMP Summary'!$T$22</f>
      </c>
      <c r="U42" s="216">
        <f>'[1]TEMP Summary'!$T$22</f>
      </c>
      <c r="V42" s="216">
        <f>'[1]TEMP Summary'!$T$22</f>
      </c>
      <c r="W42" s="216">
        <f>'[1]TEMP Summary'!$T$22</f>
      </c>
      <c r="X42" s="216">
        <f>'[1]TEMP Summary'!$T$22</f>
      </c>
      <c r="Y42" s="216">
        <f>'[1]TEMP Summary'!$T$22</f>
      </c>
      <c r="Z42" s="216">
        <f>'[1]TEMP Summary'!$T$22</f>
      </c>
      <c r="AA42" s="216">
        <f>'[1]TEMP Summary'!$T$22</f>
      </c>
      <c r="AB42" s="216">
        <f>'[1]TEMP Summary'!$T$22</f>
      </c>
      <c r="AC42" s="216">
        <f>'[1]TEMP Summary'!$T$22</f>
      </c>
      <c r="AD42" s="216">
        <f>'[1]TEMP Summary'!$T$22</f>
      </c>
      <c r="AE42" s="216">
        <v>15</v>
      </c>
      <c r="AF42" s="216">
        <f>'[1]TEMP Summary'!$T$22</f>
      </c>
      <c r="AG42" s="84">
        <f>'[1]TEMP Summary'!$T$22</f>
      </c>
      <c r="AH42" s="225">
        <f>SUM(C42:AG42)</f>
      </c>
      <c r="AI42" s="5"/>
      <c r="AJ42" s="218"/>
      <c r="AK42" s="219"/>
      <c r="AL42" s="93"/>
      <c r="AM42" s="73"/>
      <c r="AN42" s="93"/>
    </row>
    <row x14ac:dyDescent="0.25" r="43" customHeight="1" ht="18.75">
      <c r="A43" s="215"/>
      <c r="B43" s="83" t="s">
        <v>116</v>
      </c>
      <c r="C43" s="216">
        <f>'[1]TEMP Summary'!$T$22</f>
      </c>
      <c r="D43" s="216">
        <f>'[1]TEMP Summary'!$T$22</f>
      </c>
      <c r="E43" s="216">
        <f>'[1]TEMP Summary'!$T$22</f>
      </c>
      <c r="F43" s="216">
        <f>'[1]TEMP Summary'!$T$22</f>
      </c>
      <c r="G43" s="216">
        <f>'[1]TEMP Summary'!$T$22</f>
      </c>
      <c r="H43" s="216">
        <f>'[1]TEMP Summary'!$T$22</f>
      </c>
      <c r="I43" s="216">
        <f>'[1]TEMP Summary'!$T$22</f>
      </c>
      <c r="J43" s="216">
        <f>'[1]TEMP Summary'!$T$22</f>
      </c>
      <c r="K43" s="216">
        <f>'[1]TEMP Summary'!$T$22</f>
      </c>
      <c r="L43" s="216">
        <f>'[1]TEMP Summary'!$T$22</f>
      </c>
      <c r="M43" s="216">
        <f>'[1]TEMP Summary'!$T$22</f>
      </c>
      <c r="N43" s="216">
        <f>'[1]TEMP Summary'!$T$22</f>
      </c>
      <c r="O43" s="216">
        <f>'[1]TEMP Summary'!$T$22</f>
      </c>
      <c r="P43" s="216">
        <f>'[1]TEMP Summary'!$T$22</f>
      </c>
      <c r="Q43" s="216">
        <f>'[1]TEMP Summary'!$T$22</f>
      </c>
      <c r="R43" s="216">
        <f>'[1]TEMP Summary'!$T$22</f>
      </c>
      <c r="S43" s="216">
        <f>'[1]TEMP Summary'!$T$22</f>
      </c>
      <c r="T43" s="216">
        <f>'[1]TEMP Summary'!$T$22</f>
      </c>
      <c r="U43" s="216">
        <f>'[1]TEMP Summary'!$T$22</f>
      </c>
      <c r="V43" s="216">
        <f>'[1]TEMP Summary'!$T$22</f>
      </c>
      <c r="W43" s="216">
        <f>'[1]TEMP Summary'!$T$22</f>
      </c>
      <c r="X43" s="216">
        <f>'[1]TEMP Summary'!$T$22</f>
      </c>
      <c r="Y43" s="216">
        <f>'[1]TEMP Summary'!$T$22</f>
      </c>
      <c r="Z43" s="216">
        <f>'[1]TEMP Summary'!$T$22</f>
      </c>
      <c r="AA43" s="216">
        <f>'[1]TEMP Summary'!$T$22</f>
      </c>
      <c r="AB43" s="216">
        <f>'[1]TEMP Summary'!$T$22</f>
      </c>
      <c r="AC43" s="216">
        <f>'[1]TEMP Summary'!$T$22</f>
      </c>
      <c r="AD43" s="216">
        <f>48-AD36</f>
      </c>
      <c r="AE43" s="216">
        <f>45-AE36</f>
      </c>
      <c r="AF43" s="216">
        <f>67-AF36</f>
      </c>
      <c r="AG43" s="84">
        <f>71-AG36</f>
      </c>
      <c r="AH43" s="225">
        <f>SUM(C43:AG43)</f>
      </c>
      <c r="AI43" s="5"/>
      <c r="AJ43" s="218"/>
      <c r="AK43" s="219"/>
      <c r="AL43" s="93"/>
      <c r="AM43" s="73"/>
      <c r="AN43" s="93"/>
    </row>
    <row x14ac:dyDescent="0.25" r="44" customHeight="1" ht="18.75">
      <c r="A44" s="215"/>
      <c r="B44" s="83" t="s">
        <v>117</v>
      </c>
      <c r="C44" s="216">
        <f>'[1]TEMP Summary'!$T$22</f>
      </c>
      <c r="D44" s="216">
        <f>'[1]TEMP Summary'!$T$22</f>
      </c>
      <c r="E44" s="216">
        <f>'[1]TEMP Summary'!$T$22</f>
      </c>
      <c r="F44" s="216">
        <f>'[1]TEMP Summary'!$T$22</f>
      </c>
      <c r="G44" s="216">
        <f>'[1]TEMP Summary'!$T$22</f>
      </c>
      <c r="H44" s="216">
        <f>'[1]TEMP Summary'!$T$22</f>
      </c>
      <c r="I44" s="216">
        <f>'[1]TEMP Summary'!$T$22</f>
      </c>
      <c r="J44" s="216">
        <f>'[1]TEMP Summary'!$T$22</f>
      </c>
      <c r="K44" s="216">
        <f>'[1]TEMP Summary'!$T$22</f>
      </c>
      <c r="L44" s="216">
        <f>'[1]TEMP Summary'!$T$22</f>
      </c>
      <c r="M44" s="216">
        <f>'[1]TEMP Summary'!$T$22</f>
      </c>
      <c r="N44" s="216">
        <f>'[1]TEMP Summary'!$T$22</f>
      </c>
      <c r="O44" s="216">
        <f>'[1]TEMP Summary'!$T$22</f>
      </c>
      <c r="P44" s="216">
        <f>'[1]TEMP Summary'!$T$22</f>
      </c>
      <c r="Q44" s="216">
        <f>'[1]TEMP Summary'!$T$22</f>
      </c>
      <c r="R44" s="216">
        <f>'[1]TEMP Summary'!$T$22</f>
      </c>
      <c r="S44" s="216">
        <f>'[1]TEMP Summary'!$T$22</f>
      </c>
      <c r="T44" s="216">
        <f>'[1]TEMP Summary'!$T$22</f>
      </c>
      <c r="U44" s="216">
        <f>'[1]TEMP Summary'!$T$22</f>
      </c>
      <c r="V44" s="216">
        <f>'[1]TEMP Summary'!$T$22</f>
      </c>
      <c r="W44" s="216">
        <f>'[1]TEMP Summary'!$T$22</f>
      </c>
      <c r="X44" s="216">
        <f>'[1]TEMP Summary'!$T$22</f>
      </c>
      <c r="Y44" s="216">
        <f>'[1]TEMP Summary'!$T$22</f>
      </c>
      <c r="Z44" s="216">
        <f>'[1]TEMP Summary'!$T$22</f>
      </c>
      <c r="AA44" s="216">
        <f>'[1]TEMP Summary'!$T$22</f>
      </c>
      <c r="AB44" s="216">
        <f>'[1]TEMP Summary'!$T$22</f>
      </c>
      <c r="AC44" s="216">
        <f>'[1]TEMP Summary'!$T$22</f>
      </c>
      <c r="AD44" s="216">
        <f>15-AD37</f>
      </c>
      <c r="AE44" s="216">
        <v>1</v>
      </c>
      <c r="AF44" s="216">
        <f>6-AF37</f>
      </c>
      <c r="AG44" s="84">
        <f>6-AG37</f>
      </c>
      <c r="AH44" s="225">
        <f>SUM(C44:AG44)</f>
      </c>
      <c r="AI44" s="5"/>
      <c r="AJ44" s="218"/>
      <c r="AK44" s="226"/>
      <c r="AL44" s="93"/>
      <c r="AM44" s="73"/>
      <c r="AN44" s="93"/>
    </row>
    <row x14ac:dyDescent="0.25" r="45" customHeight="1" ht="18.75">
      <c r="A45" s="215"/>
      <c r="B45" s="227" t="s">
        <v>152</v>
      </c>
      <c r="C45" s="221">
        <f>SUM(C39:C44)</f>
      </c>
      <c r="D45" s="221">
        <f>SUM(D39:D44)</f>
      </c>
      <c r="E45" s="221">
        <f>SUM(E39:E44)</f>
      </c>
      <c r="F45" s="221">
        <f>SUM(F39:F44)</f>
      </c>
      <c r="G45" s="221">
        <f>SUM(G39:G44)</f>
      </c>
      <c r="H45" s="221">
        <f>SUM(H39:H44)</f>
      </c>
      <c r="I45" s="221">
        <f>SUM(I39:I44)</f>
      </c>
      <c r="J45" s="221">
        <f>SUM(J39:J44)</f>
      </c>
      <c r="K45" s="221">
        <f>SUM(K39:K44)</f>
      </c>
      <c r="L45" s="221">
        <f>SUM(L39:L44)</f>
      </c>
      <c r="M45" s="221">
        <f>SUM(M39:M44)</f>
      </c>
      <c r="N45" s="221">
        <f>SUM(N39:N44)</f>
      </c>
      <c r="O45" s="221">
        <f>SUM(O39:O44)</f>
      </c>
      <c r="P45" s="221">
        <f>SUM(P39:P44)</f>
      </c>
      <c r="Q45" s="221">
        <f>SUM(Q39:Q44)</f>
      </c>
      <c r="R45" s="221">
        <f>SUM(R39:R44)</f>
      </c>
      <c r="S45" s="221">
        <f>SUM(S39:S44)</f>
      </c>
      <c r="T45" s="221">
        <f>SUM(T39:T44)</f>
      </c>
      <c r="U45" s="221">
        <f>SUM(U39:U44)</f>
      </c>
      <c r="V45" s="221">
        <f>SUM(V39:V44)</f>
      </c>
      <c r="W45" s="221">
        <f>SUM(W39:W44)</f>
      </c>
      <c r="X45" s="221">
        <f>SUM(X39:X44)</f>
      </c>
      <c r="Y45" s="221">
        <f>SUM(Y39:Y44)</f>
      </c>
      <c r="Z45" s="221">
        <f>SUM(Z39:Z44)</f>
      </c>
      <c r="AA45" s="221">
        <f>SUM(AA39:AA44)</f>
      </c>
      <c r="AB45" s="221">
        <f>SUM(AB39:AB44)</f>
      </c>
      <c r="AC45" s="221">
        <f>SUM(AC39:AC44)</f>
      </c>
      <c r="AD45" s="221">
        <f>SUM(AD39:AD44)</f>
      </c>
      <c r="AE45" s="221">
        <f>SUM(AE39:AE44)</f>
      </c>
      <c r="AF45" s="221">
        <f>SUM(AF39:AF44)</f>
      </c>
      <c r="AG45" s="228">
        <f>SUM(AG39:AG44)</f>
      </c>
      <c r="AH45" s="229">
        <f>SUM(C45:AG45)</f>
      </c>
      <c r="AI45" s="5"/>
      <c r="AJ45" s="230"/>
      <c r="AK45" s="231"/>
      <c r="AL45" s="93"/>
      <c r="AM45" s="73"/>
      <c r="AN45" s="93"/>
    </row>
    <row x14ac:dyDescent="0.25" r="46" customHeight="1" ht="18.75">
      <c r="A46" s="232"/>
      <c r="B46" s="233" t="s">
        <v>118</v>
      </c>
      <c r="C46" s="234">
        <f>SUM(C32:C37,C39:C44)</f>
      </c>
      <c r="D46" s="234">
        <f>SUM(D32:D37,D39:D44)</f>
      </c>
      <c r="E46" s="234">
        <f>SUM(E32:E37,E39:E44)</f>
      </c>
      <c r="F46" s="234">
        <f>SUM(F32:F37,F39:F44)</f>
      </c>
      <c r="G46" s="234">
        <f>SUM(G32:G37,G39:G44)</f>
      </c>
      <c r="H46" s="234">
        <f>SUM(H32:H37,H39:H44)</f>
      </c>
      <c r="I46" s="234">
        <f>SUM(I32:I37,I39:I44)</f>
      </c>
      <c r="J46" s="234">
        <f>SUM(J32:J37,J39:J44)</f>
      </c>
      <c r="K46" s="234">
        <f>SUM(K32:K37,K39:K44)</f>
      </c>
      <c r="L46" s="234">
        <f>SUM(L32:L37,L39:L44)</f>
      </c>
      <c r="M46" s="234">
        <f>SUM(M32:M37,M39:M44)</f>
      </c>
      <c r="N46" s="234">
        <f>SUM(N32:N37,N39:N44)</f>
      </c>
      <c r="O46" s="234">
        <f>SUM(O32:O37,O39:O44)</f>
      </c>
      <c r="P46" s="234">
        <f>SUM(P32:P37,P39:P44)</f>
      </c>
      <c r="Q46" s="234">
        <f>SUM(Q32:Q37,Q39:Q44)</f>
      </c>
      <c r="R46" s="234">
        <f>SUM(R32:R37,R39:R44)</f>
      </c>
      <c r="S46" s="234">
        <f>SUM(S32:S37,S39:S44)</f>
      </c>
      <c r="T46" s="234">
        <f>SUM(T32:T37,T39:T44)</f>
      </c>
      <c r="U46" s="234">
        <f>SUM(U32:U37,U39:U44)</f>
      </c>
      <c r="V46" s="234">
        <f>SUM(V32:V37,V39:V44)</f>
      </c>
      <c r="W46" s="234">
        <f>SUM(W32:W37,W39:W44)</f>
      </c>
      <c r="X46" s="234">
        <f>SUM(X32:X37,X39:X44)</f>
      </c>
      <c r="Y46" s="234">
        <f>SUM(Y32:Y37,Y39:Y44)</f>
      </c>
      <c r="Z46" s="234">
        <f>SUM(Z32:Z37,Z39:Z44)</f>
      </c>
      <c r="AA46" s="234">
        <f>SUM(AA32:AA37,AA39:AA44)</f>
      </c>
      <c r="AB46" s="234">
        <f>SUM(AB32:AB37,AB39:AB44)</f>
      </c>
      <c r="AC46" s="234">
        <f>SUM(AC32:AC37,AC39:AC44)</f>
      </c>
      <c r="AD46" s="234">
        <f>SUM(AD32:AD37,AD39:AD44)</f>
      </c>
      <c r="AE46" s="234">
        <f>SUM(AE32:AE37,AE39:AE44)</f>
      </c>
      <c r="AF46" s="234">
        <f>SUM(AF32:AF37,AF39:AF44)</f>
      </c>
      <c r="AG46" s="235">
        <f>SUM(AG32:AG37,AG39:AG44)</f>
      </c>
      <c r="AH46" s="236">
        <f>SUM(AH32:AH37,AH39:AH44)</f>
      </c>
      <c r="AI46" s="5"/>
      <c r="AJ46" s="237">
        <f>AH46</f>
      </c>
      <c r="AK46" s="238" t="s">
        <v>118</v>
      </c>
      <c r="AL46" s="93"/>
      <c r="AM46" s="73"/>
      <c r="AN46" s="93"/>
    </row>
  </sheetData>
  <mergeCells count="4">
    <mergeCell ref="AJ17:AM17"/>
    <mergeCell ref="AJ25:AK25"/>
    <mergeCell ref="AL25:AM25"/>
    <mergeCell ref="AJ31:AK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2"/>
  <sheetViews>
    <sheetView workbookViewId="0"/>
  </sheetViews>
  <sheetFormatPr defaultRowHeight="15" x14ac:dyDescent="0.25"/>
  <cols>
    <col min="1" max="1" style="67" width="11.290714285714287" customWidth="1" bestFit="1"/>
    <col min="2" max="2" style="88" width="29.290714285714284" customWidth="1" bestFit="1"/>
    <col min="3" max="3" style="89" width="21.719285714285714" customWidth="1" bestFit="1"/>
    <col min="4" max="4" style="90" width="11.147857142857141" customWidth="1" bestFit="1"/>
    <col min="5" max="5" style="90" width="11.290714285714287" customWidth="1" bestFit="1"/>
  </cols>
  <sheetData>
    <row x14ac:dyDescent="0.25" r="1" customHeight="1" ht="18.75">
      <c r="A1" s="70" t="s">
        <v>92</v>
      </c>
      <c r="B1" s="71">
        <f>CONCATENATE('Cash Flow'!C1, "  ",'Cash Flow'!D1)</f>
      </c>
      <c r="C1" s="72"/>
      <c r="D1" s="73"/>
      <c r="E1" s="73"/>
    </row>
    <row x14ac:dyDescent="0.25" r="2" customHeight="1" ht="18.75">
      <c r="A2" s="5"/>
      <c r="B2" s="74"/>
      <c r="C2" s="72"/>
      <c r="D2" s="73"/>
      <c r="E2" s="73"/>
    </row>
    <row x14ac:dyDescent="0.25" r="3" customHeight="1" ht="18.75">
      <c r="A3" s="10" t="s">
        <v>46</v>
      </c>
      <c r="B3" s="11" t="s">
        <v>93</v>
      </c>
      <c r="C3" s="40">
        <f>'Box Canon'!AH3+'Box Canon'!AH9</f>
      </c>
      <c r="D3" s="73"/>
      <c r="E3" s="73"/>
    </row>
    <row x14ac:dyDescent="0.25" r="4" customHeight="1" ht="18.75">
      <c r="A4" s="15" t="s">
        <v>94</v>
      </c>
      <c r="B4" s="16" t="s">
        <v>95</v>
      </c>
      <c r="C4" s="41">
        <f>'Box Canon'!AH4+'Box Canon'!AH10</f>
      </c>
      <c r="D4" s="73"/>
      <c r="E4" s="73"/>
    </row>
    <row x14ac:dyDescent="0.25" r="5" customHeight="1" ht="18.75">
      <c r="A5" s="15" t="s">
        <v>96</v>
      </c>
      <c r="B5" s="16" t="s">
        <v>97</v>
      </c>
      <c r="C5" s="41">
        <f>'Box Canon'!AH5+'Box Canon'!AH11</f>
      </c>
      <c r="D5" s="73"/>
      <c r="E5" s="73"/>
    </row>
    <row x14ac:dyDescent="0.25" r="6" customHeight="1" ht="18.75">
      <c r="A6" s="15" t="s">
        <v>98</v>
      </c>
      <c r="B6" s="16" t="s">
        <v>99</v>
      </c>
      <c r="C6" s="41">
        <f>'Box Canon'!AH6+'Box Canon'!AH12</f>
      </c>
      <c r="D6" s="73"/>
      <c r="E6" s="73"/>
    </row>
    <row x14ac:dyDescent="0.25" r="7" customHeight="1" ht="18.75">
      <c r="A7" s="15" t="s">
        <v>98</v>
      </c>
      <c r="B7" s="16" t="s">
        <v>100</v>
      </c>
      <c r="C7" s="41">
        <f>'Box Canon'!AH7+'Box Canon'!AH13</f>
      </c>
      <c r="D7" s="73"/>
      <c r="E7" s="73"/>
    </row>
    <row x14ac:dyDescent="0.25" r="8" customHeight="1" ht="18.75">
      <c r="A8" s="15"/>
      <c r="B8" s="16"/>
      <c r="C8" s="41"/>
      <c r="D8" s="73"/>
      <c r="E8" s="73"/>
    </row>
    <row x14ac:dyDescent="0.25" r="9" customHeight="1" ht="18.75">
      <c r="A9" s="15" t="s">
        <v>101</v>
      </c>
      <c r="B9" s="16" t="s">
        <v>102</v>
      </c>
      <c r="C9" s="41">
        <f>-('Box Canon'!AH26+'Box Canon'!AH27)</f>
      </c>
      <c r="D9" s="73"/>
      <c r="E9" s="73"/>
    </row>
    <row x14ac:dyDescent="0.25" r="10" customHeight="1" ht="18.75">
      <c r="A10" s="75"/>
      <c r="B10" s="76"/>
      <c r="C10" s="77"/>
      <c r="D10" s="78"/>
      <c r="E10" s="78"/>
    </row>
    <row x14ac:dyDescent="0.25" r="11" customHeight="1" ht="18.75">
      <c r="A11" s="5"/>
      <c r="B11" s="27" t="s">
        <v>43</v>
      </c>
      <c r="C11" s="79"/>
      <c r="D11" s="28">
        <f>SUM(C3:C9)</f>
      </c>
      <c r="E11" s="73"/>
    </row>
    <row x14ac:dyDescent="0.25" r="12" customHeight="1" ht="18.75">
      <c r="A12" s="5"/>
      <c r="B12" s="74"/>
      <c r="C12" s="80"/>
      <c r="D12" s="73"/>
      <c r="E12" s="73"/>
    </row>
    <row x14ac:dyDescent="0.25" r="13" customHeight="1" ht="18.75">
      <c r="A13" s="10" t="s">
        <v>64</v>
      </c>
      <c r="B13" s="11" t="s">
        <v>103</v>
      </c>
      <c r="C13" s="40">
        <f>'Box Canon'!AL20</f>
      </c>
      <c r="D13" s="73"/>
      <c r="E13" s="73"/>
    </row>
    <row x14ac:dyDescent="0.25" r="14" customHeight="1" ht="18.75">
      <c r="A14" s="15" t="s">
        <v>64</v>
      </c>
      <c r="B14" s="16" t="s">
        <v>104</v>
      </c>
      <c r="C14" s="41">
        <f>'Box Canon'!AM20</f>
      </c>
      <c r="D14" s="73"/>
      <c r="E14" s="73"/>
    </row>
    <row x14ac:dyDescent="0.25" r="15" customHeight="1" ht="18.75">
      <c r="A15" s="15" t="s">
        <v>64</v>
      </c>
      <c r="B15" s="16" t="s">
        <v>105</v>
      </c>
      <c r="C15" s="41">
        <f>'Box Canon'!AL21</f>
      </c>
      <c r="D15" s="73"/>
      <c r="E15" s="30">
        <f>D11-D22</f>
      </c>
    </row>
    <row x14ac:dyDescent="0.25" r="16" customHeight="1" ht="18.75">
      <c r="A16" s="15" t="s">
        <v>64</v>
      </c>
      <c r="B16" s="16" t="s">
        <v>106</v>
      </c>
      <c r="C16" s="41">
        <f>'Box Canon'!AM21</f>
      </c>
      <c r="D16" s="73"/>
      <c r="E16" s="73"/>
    </row>
    <row x14ac:dyDescent="0.25" r="17" customHeight="1" ht="18.75">
      <c r="A17" s="15" t="s">
        <v>64</v>
      </c>
      <c r="B17" s="16" t="s">
        <v>107</v>
      </c>
      <c r="C17" s="41">
        <f>'Box Canon'!AL22</f>
      </c>
      <c r="D17" s="73"/>
      <c r="E17" s="73"/>
    </row>
    <row x14ac:dyDescent="0.25" r="18" customHeight="1" ht="18.75">
      <c r="A18" s="15" t="s">
        <v>64</v>
      </c>
      <c r="B18" s="16" t="s">
        <v>108</v>
      </c>
      <c r="C18" s="41">
        <f>'Box Canon'!AM22</f>
      </c>
      <c r="D18" s="73"/>
      <c r="E18" s="73"/>
    </row>
    <row x14ac:dyDescent="0.25" r="19" customHeight="1" ht="18.75">
      <c r="A19" s="15" t="s">
        <v>109</v>
      </c>
      <c r="B19" s="16" t="s">
        <v>110</v>
      </c>
      <c r="C19" s="41">
        <f>'Box Canon'!AL29</f>
      </c>
      <c r="D19" s="73"/>
      <c r="E19" s="73"/>
    </row>
    <row x14ac:dyDescent="0.25" r="20" customHeight="1" ht="18.75">
      <c r="A20" s="15" t="s">
        <v>109</v>
      </c>
      <c r="B20" s="16" t="s">
        <v>111</v>
      </c>
      <c r="C20" s="41">
        <f>'Box Canon'!AM29</f>
      </c>
      <c r="D20" s="73"/>
      <c r="E20" s="73"/>
    </row>
    <row x14ac:dyDescent="0.25" r="21" customHeight="1" ht="18.75">
      <c r="A21" s="75"/>
      <c r="B21" s="76"/>
      <c r="C21" s="77"/>
      <c r="D21" s="78"/>
      <c r="E21" s="73"/>
    </row>
    <row x14ac:dyDescent="0.25" r="22" customHeight="1" ht="18.75">
      <c r="A22" s="5"/>
      <c r="B22" s="27" t="s">
        <v>81</v>
      </c>
      <c r="C22" s="79"/>
      <c r="D22" s="28">
        <f>SUM(C13:C20)</f>
      </c>
      <c r="E22" s="73"/>
    </row>
    <row x14ac:dyDescent="0.25" r="23" customHeight="1" ht="18.75">
      <c r="A23" s="5"/>
      <c r="B23" s="74"/>
      <c r="C23" s="72"/>
      <c r="D23" s="73"/>
      <c r="E23" s="73"/>
    </row>
    <row x14ac:dyDescent="0.25" r="24" customHeight="1" ht="18.75">
      <c r="A24" s="5"/>
      <c r="B24" s="81" t="s">
        <v>82</v>
      </c>
      <c r="C24" s="82"/>
      <c r="D24" s="73"/>
      <c r="E24" s="73"/>
    </row>
    <row x14ac:dyDescent="0.25" r="25" customHeight="1" ht="18.75">
      <c r="A25" s="5"/>
      <c r="B25" s="83" t="s">
        <v>112</v>
      </c>
      <c r="C25" s="84">
        <f>'Box Canon'!AJ32</f>
      </c>
      <c r="D25" s="73"/>
      <c r="E25" s="73"/>
    </row>
    <row x14ac:dyDescent="0.25" r="26" customHeight="1" ht="18.75">
      <c r="A26" s="5"/>
      <c r="B26" s="83" t="s">
        <v>113</v>
      </c>
      <c r="C26" s="84">
        <f>'Box Canon'!AJ33</f>
      </c>
      <c r="D26" s="73"/>
      <c r="E26" s="73"/>
    </row>
    <row x14ac:dyDescent="0.25" r="27" customHeight="1" ht="18.75">
      <c r="A27" s="5"/>
      <c r="B27" s="83" t="s">
        <v>114</v>
      </c>
      <c r="C27" s="84">
        <f>'Box Canon'!AJ34</f>
      </c>
      <c r="D27" s="73"/>
      <c r="E27" s="73"/>
    </row>
    <row x14ac:dyDescent="0.25" r="28" customHeight="1" ht="18.75">
      <c r="A28" s="5"/>
      <c r="B28" s="83" t="s">
        <v>115</v>
      </c>
      <c r="C28" s="84">
        <f>'Box Canon'!AJ35</f>
      </c>
      <c r="D28" s="73"/>
      <c r="E28" s="73"/>
    </row>
    <row x14ac:dyDescent="0.25" r="29" customHeight="1" ht="18.75">
      <c r="A29" s="5"/>
      <c r="B29" s="83" t="s">
        <v>116</v>
      </c>
      <c r="C29" s="84">
        <f>'Box Canon'!AJ36</f>
      </c>
      <c r="D29" s="73"/>
      <c r="E29" s="73"/>
    </row>
    <row x14ac:dyDescent="0.25" r="30" customHeight="1" ht="18.75">
      <c r="A30" s="5"/>
      <c r="B30" s="83" t="s">
        <v>117</v>
      </c>
      <c r="C30" s="84">
        <f>'Box Canon'!AJ37</f>
      </c>
      <c r="D30" s="73"/>
      <c r="E30" s="73"/>
    </row>
    <row x14ac:dyDescent="0.25" r="31" customHeight="1" ht="18.75">
      <c r="A31" s="5"/>
      <c r="B31" s="15"/>
      <c r="C31" s="85"/>
      <c r="D31" s="73"/>
      <c r="E31" s="73"/>
    </row>
    <row x14ac:dyDescent="0.25" r="32" customHeight="1" ht="18.75">
      <c r="A32" s="5"/>
      <c r="B32" s="86" t="s">
        <v>118</v>
      </c>
      <c r="C32" s="87">
        <f>SUM(C25:C30)</f>
      </c>
      <c r="D32" s="73"/>
      <c r="E32" s="73"/>
    </row>
  </sheetData>
  <mergeCells count="1">
    <mergeCell ref="B24:C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3"/>
  <sheetViews>
    <sheetView workbookViewId="0"/>
  </sheetViews>
  <sheetFormatPr defaultRowHeight="15" x14ac:dyDescent="0.25"/>
  <cols>
    <col min="1" max="1" style="67" width="10.43357142857143" customWidth="1" bestFit="1"/>
    <col min="2" max="2" style="67" width="35.14785714285715" customWidth="1" bestFit="1"/>
    <col min="3" max="3" style="68" width="17.862142857142857" customWidth="1" bestFit="1"/>
    <col min="4" max="4" style="69" width="11.005" customWidth="1" bestFit="1"/>
    <col min="5" max="5" style="67" width="12.290714285714287" customWidth="1" bestFit="1"/>
    <col min="6" max="6" style="67" width="16.005" customWidth="1" bestFit="1"/>
    <col min="7" max="7" style="67" width="13.576428571428572" customWidth="1" bestFit="1"/>
  </cols>
  <sheetData>
    <row x14ac:dyDescent="0.25" r="1" customHeight="1" ht="13.5">
      <c r="A1" s="1" t="s">
        <v>0</v>
      </c>
      <c r="B1" s="2">
        <f>CONCATENATE('Cash Flow'!C1, "  ",'Cash Flow'!D1)</f>
      </c>
      <c r="C1" s="3"/>
      <c r="D1" s="4"/>
      <c r="E1" s="5"/>
      <c r="F1" s="5"/>
      <c r="G1" s="5"/>
    </row>
    <row x14ac:dyDescent="0.25" r="2" customHeight="1" ht="5.1">
      <c r="A2" s="1"/>
      <c r="B2" s="6"/>
      <c r="C2" s="3"/>
      <c r="D2" s="4"/>
      <c r="E2" s="5"/>
      <c r="F2" s="5"/>
      <c r="G2" s="5"/>
    </row>
    <row x14ac:dyDescent="0.25" r="3" customHeight="1" ht="14.1">
      <c r="A3" s="7" t="s">
        <v>1</v>
      </c>
      <c r="B3" s="8"/>
      <c r="C3" s="9"/>
      <c r="D3" s="4"/>
      <c r="E3" s="5"/>
      <c r="F3" s="5"/>
      <c r="G3" s="5"/>
    </row>
    <row x14ac:dyDescent="0.25" r="4" customHeight="1" ht="24">
      <c r="A4" s="10" t="s">
        <v>2</v>
      </c>
      <c r="B4" s="11" t="s">
        <v>3</v>
      </c>
      <c r="C4" s="12">
        <f>Pool!AH4+(C13/2)+Pool!AH7+Pool!AH5</f>
      </c>
      <c r="D4" s="13" t="s">
        <v>4</v>
      </c>
      <c r="E4" s="14"/>
      <c r="F4" s="14"/>
      <c r="G4" s="5"/>
    </row>
    <row x14ac:dyDescent="0.25" r="5" customHeight="1" ht="14.1">
      <c r="A5" s="15" t="s">
        <v>5</v>
      </c>
      <c r="B5" s="16" t="s">
        <v>6</v>
      </c>
      <c r="C5" s="17">
        <f>Pool!AH6</f>
      </c>
      <c r="D5" s="18"/>
      <c r="E5" s="19"/>
      <c r="F5" s="19"/>
      <c r="G5" s="5"/>
    </row>
    <row x14ac:dyDescent="0.25" r="6" customHeight="1" ht="14.1">
      <c r="A6" s="15" t="s">
        <v>7</v>
      </c>
      <c r="B6" s="16" t="s">
        <v>8</v>
      </c>
      <c r="C6" s="17">
        <f>Pool!AH8</f>
      </c>
      <c r="D6" s="20" t="s">
        <v>9</v>
      </c>
      <c r="E6" s="21"/>
      <c r="F6" s="21"/>
      <c r="G6" s="5"/>
    </row>
    <row x14ac:dyDescent="0.25" r="7" customHeight="1" ht="14.1">
      <c r="A7" s="15" t="s">
        <v>10</v>
      </c>
      <c r="B7" s="16" t="s">
        <v>11</v>
      </c>
      <c r="C7" s="17">
        <f>Pool!AH9</f>
      </c>
      <c r="D7" s="18"/>
      <c r="E7" s="19"/>
      <c r="F7" s="19"/>
      <c r="G7" s="5"/>
    </row>
    <row x14ac:dyDescent="0.25" r="8" customHeight="1" ht="14.1">
      <c r="A8" s="15" t="s">
        <v>12</v>
      </c>
      <c r="B8" s="16" t="s">
        <v>13</v>
      </c>
      <c r="C8" s="17">
        <f>Pool!AH10</f>
      </c>
      <c r="D8" s="18"/>
      <c r="E8" s="19"/>
      <c r="F8" s="19"/>
      <c r="G8" s="5"/>
    </row>
    <row x14ac:dyDescent="0.25" r="9" customHeight="1" ht="14.1">
      <c r="A9" s="15" t="s">
        <v>14</v>
      </c>
      <c r="B9" s="16" t="s">
        <v>15</v>
      </c>
      <c r="C9" s="17">
        <f>Pool!AH14</f>
      </c>
      <c r="D9" s="18"/>
      <c r="E9" s="19"/>
      <c r="F9" s="19"/>
      <c r="G9" s="5"/>
    </row>
    <row x14ac:dyDescent="0.25" r="10" customHeight="1" ht="14.1">
      <c r="A10" s="15" t="s">
        <v>16</v>
      </c>
      <c r="B10" s="16" t="s">
        <v>17</v>
      </c>
      <c r="C10" s="17">
        <f>Pool!AH15</f>
      </c>
      <c r="D10" s="18"/>
      <c r="E10" s="19"/>
      <c r="F10" s="19"/>
      <c r="G10" s="5"/>
    </row>
    <row x14ac:dyDescent="0.25" r="11" customHeight="1" ht="14.1">
      <c r="A11" s="15" t="s">
        <v>18</v>
      </c>
      <c r="B11" s="16" t="s">
        <v>19</v>
      </c>
      <c r="C11" s="17">
        <f>Pool!AH16</f>
      </c>
      <c r="D11" s="18"/>
      <c r="E11" s="19"/>
      <c r="F11" s="19"/>
      <c r="G11" s="5"/>
    </row>
    <row x14ac:dyDescent="0.25" r="12" customHeight="1" ht="14.1">
      <c r="A12" s="15" t="s">
        <v>20</v>
      </c>
      <c r="B12" s="16" t="s">
        <v>21</v>
      </c>
      <c r="C12" s="17">
        <f>Pool!AH17+(C13/2)</f>
      </c>
      <c r="D12" s="18" t="s">
        <v>22</v>
      </c>
      <c r="E12" s="19"/>
      <c r="F12" s="19"/>
      <c r="G12" s="5"/>
    </row>
    <row x14ac:dyDescent="0.25" r="13" customHeight="1" ht="14.1">
      <c r="A13" s="15"/>
      <c r="B13" s="16" t="s">
        <v>23</v>
      </c>
      <c r="C13" s="22">
        <f>Pool!AH18</f>
      </c>
      <c r="D13" s="18" t="s">
        <v>24</v>
      </c>
      <c r="E13" s="19"/>
      <c r="F13" s="19"/>
      <c r="G13" s="5"/>
    </row>
    <row x14ac:dyDescent="0.25" r="14" customHeight="1" ht="14.1">
      <c r="A14" s="15" t="s">
        <v>25</v>
      </c>
      <c r="B14" s="16" t="s">
        <v>26</v>
      </c>
      <c r="C14" s="17">
        <f>Pool!AH19</f>
      </c>
      <c r="D14" s="18"/>
      <c r="E14" s="19"/>
      <c r="F14" s="19"/>
      <c r="G14" s="5"/>
    </row>
    <row x14ac:dyDescent="0.25" r="15" customHeight="1" ht="14.1">
      <c r="A15" s="15" t="s">
        <v>27</v>
      </c>
      <c r="B15" s="16" t="s">
        <v>28</v>
      </c>
      <c r="C15" s="17">
        <f>Pool!AH21</f>
      </c>
      <c r="D15" s="18"/>
      <c r="E15" s="19"/>
      <c r="F15" s="19"/>
      <c r="G15" s="5"/>
    </row>
    <row x14ac:dyDescent="0.25" r="16" customHeight="1" ht="14.1">
      <c r="A16" s="15" t="s">
        <v>29</v>
      </c>
      <c r="B16" s="16" t="s">
        <v>30</v>
      </c>
      <c r="C16" s="17">
        <f>Pool!AH20</f>
      </c>
      <c r="D16" s="18"/>
      <c r="E16" s="19"/>
      <c r="F16" s="19"/>
      <c r="G16" s="5"/>
    </row>
    <row x14ac:dyDescent="0.25" r="17" customHeight="1" ht="14.1">
      <c r="A17" s="15" t="s">
        <v>31</v>
      </c>
      <c r="B17" s="16" t="s">
        <v>32</v>
      </c>
      <c r="C17" s="17">
        <f>Pool!AH22</f>
      </c>
      <c r="D17" s="18"/>
      <c r="E17" s="19"/>
      <c r="F17" s="19"/>
      <c r="G17" s="5"/>
    </row>
    <row x14ac:dyDescent="0.25" r="18" customHeight="1" ht="18.75" hidden="1">
      <c r="A18" s="15" t="s">
        <v>33</v>
      </c>
      <c r="B18" s="16" t="s">
        <v>34</v>
      </c>
      <c r="C18" s="17">
        <f>Pool!AH23</f>
      </c>
      <c r="D18" s="18"/>
      <c r="E18" s="19"/>
      <c r="F18" s="19"/>
      <c r="G18" s="5"/>
    </row>
    <row x14ac:dyDescent="0.25" r="19" customHeight="1" ht="18.75" hidden="1">
      <c r="A19" s="15" t="s">
        <v>35</v>
      </c>
      <c r="B19" s="16" t="s">
        <v>36</v>
      </c>
      <c r="C19" s="17">
        <f>Pool!AH24</f>
      </c>
      <c r="D19" s="18"/>
      <c r="E19" s="19"/>
      <c r="F19" s="19"/>
      <c r="G19" s="5"/>
    </row>
    <row x14ac:dyDescent="0.25" r="20" customHeight="1" ht="18.75" hidden="1">
      <c r="A20" s="15" t="s">
        <v>37</v>
      </c>
      <c r="B20" s="16" t="s">
        <v>38</v>
      </c>
      <c r="C20" s="17">
        <f>Pool!AH25</f>
      </c>
      <c r="D20" s="18"/>
      <c r="E20" s="19"/>
      <c r="F20" s="19"/>
      <c r="G20" s="5"/>
    </row>
    <row x14ac:dyDescent="0.25" r="21" customHeight="1" ht="14.1">
      <c r="A21" s="15" t="s">
        <v>39</v>
      </c>
      <c r="B21" s="16" t="s">
        <v>40</v>
      </c>
      <c r="C21" s="17">
        <f>Pool!AH26</f>
      </c>
      <c r="D21" s="18"/>
      <c r="E21" s="19"/>
      <c r="F21" s="19"/>
      <c r="G21" s="5"/>
    </row>
    <row x14ac:dyDescent="0.25" r="22" customHeight="1" ht="14.1">
      <c r="A22" s="23" t="s">
        <v>41</v>
      </c>
      <c r="B22" s="24" t="s">
        <v>42</v>
      </c>
      <c r="C22" s="25">
        <f>Pool!AH27</f>
      </c>
      <c r="D22" s="18"/>
      <c r="E22" s="19"/>
      <c r="F22" s="19"/>
      <c r="G22" s="5"/>
    </row>
    <row x14ac:dyDescent="0.25" r="23" customHeight="1" ht="14.1">
      <c r="A23" s="26"/>
      <c r="B23" s="27" t="s">
        <v>43</v>
      </c>
      <c r="C23" s="28">
        <f>C4+C5+C6+C7+C8+C9+C10+C11+C12+C16</f>
      </c>
      <c r="D23" s="18" t="s">
        <v>44</v>
      </c>
      <c r="E23" s="19"/>
      <c r="F23" s="19"/>
      <c r="G23" s="5"/>
    </row>
    <row x14ac:dyDescent="0.25" r="24" customHeight="1" ht="5.1">
      <c r="A24" s="5"/>
      <c r="B24" s="5"/>
      <c r="C24" s="29"/>
      <c r="D24" s="4"/>
      <c r="E24" s="5"/>
      <c r="F24" s="30"/>
      <c r="G24" s="30"/>
    </row>
    <row x14ac:dyDescent="0.25" r="25" customHeight="1" ht="14.1">
      <c r="A25" s="7" t="s">
        <v>45</v>
      </c>
      <c r="B25" s="8"/>
      <c r="C25" s="9"/>
      <c r="D25" s="4"/>
      <c r="E25" s="5"/>
      <c r="F25" s="5"/>
      <c r="G25" s="5"/>
    </row>
    <row x14ac:dyDescent="0.25" r="26" customHeight="1" ht="14.1">
      <c r="A26" s="10" t="s">
        <v>46</v>
      </c>
      <c r="B26" s="31" t="s">
        <v>47</v>
      </c>
      <c r="C26" s="32">
        <f>Pool!AH3</f>
      </c>
      <c r="D26" s="18"/>
      <c r="E26" s="19"/>
      <c r="F26" s="19"/>
      <c r="G26" s="5"/>
    </row>
    <row x14ac:dyDescent="0.25" r="27" customHeight="1" ht="14.1">
      <c r="A27" s="15" t="s">
        <v>48</v>
      </c>
      <c r="B27" s="33" t="s">
        <v>49</v>
      </c>
      <c r="C27" s="34">
        <f>Pool!AH11</f>
      </c>
      <c r="D27" s="18" t="s">
        <v>50</v>
      </c>
      <c r="E27" s="19"/>
      <c r="F27" s="19"/>
      <c r="G27" s="5"/>
    </row>
    <row x14ac:dyDescent="0.25" r="28" customHeight="1" ht="14.1">
      <c r="A28" s="15" t="s">
        <v>51</v>
      </c>
      <c r="B28" s="33" t="s">
        <v>52</v>
      </c>
      <c r="C28" s="34">
        <f>Pool!AH12</f>
      </c>
      <c r="D28" s="18" t="s">
        <v>53</v>
      </c>
      <c r="E28" s="19"/>
      <c r="F28" s="19"/>
      <c r="G28" s="5"/>
    </row>
    <row x14ac:dyDescent="0.25" r="29" customHeight="1" ht="14.1">
      <c r="A29" s="15" t="s">
        <v>54</v>
      </c>
      <c r="B29" s="33" t="s">
        <v>55</v>
      </c>
      <c r="C29" s="34">
        <f>Pool!AH13</f>
      </c>
      <c r="D29" s="18" t="s">
        <v>56</v>
      </c>
      <c r="E29" s="19"/>
      <c r="F29" s="19"/>
      <c r="G29" s="5"/>
    </row>
    <row x14ac:dyDescent="0.25" r="30" customHeight="1" ht="14.1">
      <c r="A30" s="23" t="s">
        <v>57</v>
      </c>
      <c r="B30" s="35" t="s">
        <v>58</v>
      </c>
      <c r="C30" s="36">
        <f>Pool!AH28</f>
      </c>
      <c r="D30" s="18" t="s">
        <v>59</v>
      </c>
      <c r="E30" s="19"/>
      <c r="F30" s="19"/>
      <c r="G30" s="5"/>
    </row>
    <row x14ac:dyDescent="0.25" r="31" customHeight="1" ht="14.1">
      <c r="A31" s="5"/>
      <c r="B31" s="37" t="s">
        <v>60</v>
      </c>
      <c r="C31" s="28">
        <f>SUM(C26:C30)</f>
      </c>
      <c r="D31" s="4"/>
      <c r="E31" s="5"/>
      <c r="F31" s="30"/>
      <c r="G31" s="5"/>
    </row>
    <row x14ac:dyDescent="0.25" r="32" customHeight="1" ht="5.1">
      <c r="A32" s="5"/>
      <c r="B32" s="27"/>
      <c r="C32" s="28"/>
      <c r="D32" s="4"/>
      <c r="E32" s="5"/>
      <c r="F32" s="30"/>
      <c r="G32" s="5"/>
    </row>
    <row x14ac:dyDescent="0.25" r="33" customHeight="1" ht="14.1">
      <c r="A33" s="5"/>
      <c r="B33" s="38" t="s">
        <v>61</v>
      </c>
      <c r="C33" s="39">
        <f>C31+C23</f>
      </c>
      <c r="D33" s="19" t="s">
        <v>62</v>
      </c>
      <c r="E33" s="19"/>
      <c r="F33" s="19"/>
      <c r="G33" s="5"/>
    </row>
    <row x14ac:dyDescent="0.25" r="34" customHeight="1" ht="5.1">
      <c r="A34" s="5"/>
      <c r="B34" s="5"/>
      <c r="C34" s="29"/>
      <c r="D34" s="4"/>
      <c r="E34" s="5"/>
      <c r="F34" s="5"/>
      <c r="G34" s="5"/>
    </row>
    <row x14ac:dyDescent="0.25" r="35" customHeight="1" ht="14.1">
      <c r="A35" s="7" t="s">
        <v>63</v>
      </c>
      <c r="B35" s="8"/>
      <c r="C35" s="9"/>
      <c r="D35" s="4"/>
      <c r="E35" s="5"/>
      <c r="F35" s="5"/>
      <c r="G35" s="5"/>
    </row>
    <row x14ac:dyDescent="0.25" r="36" customHeight="1" ht="14.1">
      <c r="A36" s="10" t="s">
        <v>64</v>
      </c>
      <c r="B36" s="11" t="s">
        <v>65</v>
      </c>
      <c r="C36" s="40">
        <f>Pool!AL33</f>
      </c>
      <c r="D36" s="4"/>
      <c r="E36" s="5"/>
      <c r="F36" s="5"/>
      <c r="G36" s="5"/>
    </row>
    <row x14ac:dyDescent="0.25" r="37" customHeight="1" ht="14.1">
      <c r="A37" s="15" t="s">
        <v>64</v>
      </c>
      <c r="B37" s="16" t="s">
        <v>66</v>
      </c>
      <c r="C37" s="41">
        <f>Pool!AM33</f>
      </c>
      <c r="D37" s="4"/>
      <c r="E37" s="5"/>
      <c r="F37" s="5"/>
      <c r="G37" s="5"/>
    </row>
    <row x14ac:dyDescent="0.25" r="38" customHeight="1" ht="14.1">
      <c r="A38" s="15" t="s">
        <v>64</v>
      </c>
      <c r="B38" s="16" t="s">
        <v>67</v>
      </c>
      <c r="C38" s="41">
        <f>Pool!AL34</f>
      </c>
      <c r="D38" s="4"/>
      <c r="E38" s="5"/>
      <c r="F38" s="5"/>
      <c r="G38" s="5"/>
    </row>
    <row x14ac:dyDescent="0.25" r="39" customHeight="1" ht="14.1">
      <c r="A39" s="15" t="s">
        <v>64</v>
      </c>
      <c r="B39" s="16" t="s">
        <v>68</v>
      </c>
      <c r="C39" s="41">
        <f>Pool!AM34</f>
      </c>
      <c r="D39" s="42"/>
      <c r="E39" s="30"/>
      <c r="F39" s="5"/>
      <c r="G39" s="5"/>
    </row>
    <row x14ac:dyDescent="0.25" r="40" customHeight="1" ht="14.1">
      <c r="A40" s="15" t="s">
        <v>64</v>
      </c>
      <c r="B40" s="16" t="s">
        <v>69</v>
      </c>
      <c r="C40" s="41">
        <f>Pool!AL35</f>
      </c>
      <c r="D40" s="42"/>
      <c r="E40" s="30"/>
      <c r="F40" s="5"/>
      <c r="G40" s="5"/>
    </row>
    <row x14ac:dyDescent="0.25" r="41" customHeight="1" ht="14.1">
      <c r="A41" s="15" t="s">
        <v>64</v>
      </c>
      <c r="B41" s="16" t="s">
        <v>70</v>
      </c>
      <c r="C41" s="41">
        <f>Pool!AM35</f>
      </c>
      <c r="D41" s="4"/>
      <c r="E41" s="30"/>
      <c r="F41" s="5"/>
      <c r="G41" s="5"/>
    </row>
    <row x14ac:dyDescent="0.25" r="42" customHeight="1" ht="14.1">
      <c r="A42" s="15" t="s">
        <v>71</v>
      </c>
      <c r="B42" s="16" t="s">
        <v>72</v>
      </c>
      <c r="C42" s="41">
        <f>Pool!AL45</f>
      </c>
      <c r="D42" s="4"/>
      <c r="E42" s="30"/>
      <c r="F42" s="5"/>
      <c r="G42" s="5"/>
    </row>
    <row x14ac:dyDescent="0.25" r="43" customHeight="1" ht="14.1">
      <c r="A43" s="15" t="s">
        <v>71</v>
      </c>
      <c r="B43" s="16" t="s">
        <v>73</v>
      </c>
      <c r="C43" s="41">
        <f>Pool!AM45</f>
      </c>
      <c r="D43" s="4"/>
      <c r="E43" s="30"/>
      <c r="F43" s="5"/>
      <c r="G43" s="5"/>
    </row>
    <row x14ac:dyDescent="0.25" r="44" customHeight="1" ht="18.75" hidden="1">
      <c r="A44" s="15" t="s">
        <v>64</v>
      </c>
      <c r="B44" s="16" t="s">
        <v>74</v>
      </c>
      <c r="C44" s="41">
        <f>Pool!AL36</f>
      </c>
      <c r="D44" s="4"/>
      <c r="E44" s="30"/>
      <c r="F44" s="5"/>
      <c r="G44" s="5"/>
    </row>
    <row x14ac:dyDescent="0.25" r="45" customHeight="1" ht="18.75" hidden="1">
      <c r="A45" s="15" t="s">
        <v>64</v>
      </c>
      <c r="B45" s="16" t="s">
        <v>75</v>
      </c>
      <c r="C45" s="41">
        <f>Pool!AM36</f>
      </c>
      <c r="D45" s="4"/>
      <c r="E45" s="30"/>
      <c r="F45" s="5"/>
      <c r="G45" s="5"/>
    </row>
    <row x14ac:dyDescent="0.25" r="46" customHeight="1" ht="14.1">
      <c r="A46" s="15" t="s">
        <v>76</v>
      </c>
      <c r="B46" s="16" t="s">
        <v>77</v>
      </c>
      <c r="C46" s="41">
        <f>Pool!AL43</f>
      </c>
      <c r="D46" s="43"/>
      <c r="E46" s="44"/>
      <c r="F46" s="44"/>
      <c r="G46" s="5"/>
    </row>
    <row x14ac:dyDescent="0.25" r="47" customHeight="1" ht="14.1">
      <c r="A47" s="45" t="s">
        <v>78</v>
      </c>
      <c r="B47" s="46" t="s">
        <v>79</v>
      </c>
      <c r="C47" s="47">
        <f>Pool!AL37</f>
      </c>
      <c r="D47" s="4"/>
      <c r="E47" s="5"/>
      <c r="F47" s="5"/>
      <c r="G47" s="5"/>
    </row>
    <row x14ac:dyDescent="0.25" r="48" customHeight="1" ht="14.1">
      <c r="A48" s="23" t="s">
        <v>57</v>
      </c>
      <c r="B48" s="24" t="s">
        <v>80</v>
      </c>
      <c r="C48" s="48">
        <f>Pool!AL38</f>
      </c>
      <c r="D48" s="4"/>
      <c r="E48" s="5"/>
      <c r="F48" s="5"/>
      <c r="G48" s="5"/>
    </row>
    <row x14ac:dyDescent="0.25" r="49" customHeight="1" ht="12.75">
      <c r="A49" s="5"/>
      <c r="B49" s="27" t="s">
        <v>81</v>
      </c>
      <c r="C49" s="49">
        <f>SUM(C36:C48)</f>
      </c>
      <c r="D49" s="4"/>
      <c r="E49" s="5"/>
      <c r="F49" s="5"/>
      <c r="G49" s="5"/>
    </row>
    <row x14ac:dyDescent="0.25" r="50" customHeight="1" ht="5.1">
      <c r="A50" s="5"/>
      <c r="B50" s="5"/>
      <c r="C50" s="29"/>
      <c r="D50" s="49"/>
      <c r="E50" s="30"/>
      <c r="F50" s="5"/>
      <c r="G50" s="5"/>
    </row>
    <row x14ac:dyDescent="0.25" r="51" customHeight="1" ht="14.1">
      <c r="A51" s="5"/>
      <c r="B51" s="10" t="s">
        <v>82</v>
      </c>
      <c r="C51" s="50">
        <f>Pool!AJ47</f>
      </c>
      <c r="D51" s="4"/>
      <c r="E51" s="5"/>
      <c r="F51" s="5"/>
      <c r="G51" s="5"/>
    </row>
    <row x14ac:dyDescent="0.25" r="52" customHeight="1" ht="14.1">
      <c r="A52" s="5"/>
      <c r="B52" s="15" t="s">
        <v>83</v>
      </c>
      <c r="C52" s="51">
        <f>Pool!AJ48</f>
      </c>
      <c r="D52" s="4"/>
      <c r="E52" s="5"/>
      <c r="F52" s="5"/>
      <c r="G52" s="5"/>
    </row>
    <row x14ac:dyDescent="0.25" r="53" customHeight="1" ht="14.1">
      <c r="A53" s="5"/>
      <c r="B53" s="52" t="s">
        <v>84</v>
      </c>
      <c r="C53" s="53">
        <f>C51+C52</f>
      </c>
      <c r="D53" s="4"/>
      <c r="E53" s="5"/>
      <c r="F53" s="5"/>
      <c r="G53" s="5"/>
    </row>
    <row x14ac:dyDescent="0.25" r="54" customHeight="1" ht="5.1">
      <c r="A54" s="5"/>
      <c r="B54" s="5"/>
      <c r="C54" s="29"/>
      <c r="D54" s="4"/>
      <c r="E54" s="5"/>
      <c r="F54" s="5"/>
      <c r="G54" s="5"/>
    </row>
    <row x14ac:dyDescent="0.25" r="55" customHeight="1" ht="14.1">
      <c r="A55" s="5"/>
      <c r="B55" s="54" t="s">
        <v>85</v>
      </c>
      <c r="C55" s="55">
        <f>Pool!AJ54</f>
      </c>
      <c r="D55" s="4"/>
      <c r="E55" s="5"/>
      <c r="F55" s="5"/>
      <c r="G55" s="5"/>
    </row>
    <row x14ac:dyDescent="0.25" r="56" customHeight="1" ht="5.1">
      <c r="A56" s="5"/>
      <c r="B56" s="5"/>
      <c r="C56" s="29"/>
      <c r="D56" s="4"/>
      <c r="E56" s="5"/>
      <c r="F56" s="5"/>
      <c r="G56" s="5"/>
    </row>
    <row x14ac:dyDescent="0.25" r="57" customHeight="1" ht="14.1">
      <c r="A57" s="56"/>
      <c r="B57" s="57" t="s">
        <v>86</v>
      </c>
      <c r="C57" s="58" t="s">
        <v>87</v>
      </c>
      <c r="D57" s="4"/>
      <c r="E57" s="5"/>
      <c r="F57" s="5"/>
      <c r="G57" s="5"/>
    </row>
    <row x14ac:dyDescent="0.25" r="58" customHeight="1" ht="14.1">
      <c r="A58" s="5"/>
      <c r="B58" s="59" t="s">
        <v>88</v>
      </c>
      <c r="C58" s="60">
        <f>Pool!AJ57</f>
      </c>
      <c r="D58" s="4"/>
      <c r="E58" s="5"/>
      <c r="F58" s="5"/>
      <c r="G58" s="5"/>
    </row>
    <row x14ac:dyDescent="0.25" r="59" customHeight="1" ht="14.1">
      <c r="A59" s="56"/>
      <c r="B59" s="61" t="s">
        <v>89</v>
      </c>
      <c r="C59" s="62">
        <f>Pool!AJ58</f>
      </c>
      <c r="D59" s="4"/>
      <c r="E59" s="5"/>
      <c r="F59" s="5"/>
      <c r="G59" s="5"/>
    </row>
    <row x14ac:dyDescent="0.25" r="60" customHeight="1" ht="14.1">
      <c r="A60" s="5"/>
      <c r="B60" s="61" t="s">
        <v>90</v>
      </c>
      <c r="C60" s="62">
        <f>Pool!AJ59</f>
      </c>
      <c r="D60" s="4"/>
      <c r="E60" s="5"/>
      <c r="F60" s="5"/>
      <c r="G60" s="5"/>
    </row>
    <row x14ac:dyDescent="0.25" r="61" customHeight="1" ht="14.1">
      <c r="A61" s="5"/>
      <c r="B61" s="63" t="s">
        <v>91</v>
      </c>
      <c r="C61" s="64">
        <f>Pool!AJ60</f>
      </c>
      <c r="D61" s="4"/>
      <c r="E61" s="5"/>
      <c r="F61" s="5"/>
      <c r="G61" s="5"/>
    </row>
    <row x14ac:dyDescent="0.25" r="62" customHeight="1" ht="18.75">
      <c r="A62" s="65"/>
      <c r="B62" s="65"/>
      <c r="C62" s="66"/>
      <c r="D62" s="4"/>
      <c r="E62" s="65"/>
      <c r="F62" s="5"/>
      <c r="G62" s="5"/>
    </row>
    <row x14ac:dyDescent="0.25" r="63" customHeight="1" ht="18.75">
      <c r="A63" s="5"/>
      <c r="B63" s="5"/>
      <c r="C63" s="29"/>
      <c r="D63" s="65"/>
      <c r="E63" s="5"/>
      <c r="F63" s="5"/>
      <c r="G63" s="5"/>
    </row>
  </sheetData>
  <mergeCells count="30">
    <mergeCell ref="A3:C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A25:C25"/>
    <mergeCell ref="D26:F26"/>
    <mergeCell ref="D27:F27"/>
    <mergeCell ref="D28:F28"/>
    <mergeCell ref="D29:F29"/>
    <mergeCell ref="D30:F30"/>
    <mergeCell ref="D33:F33"/>
    <mergeCell ref="A35:C35"/>
    <mergeCell ref="D46:F4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Cash Flow</vt:lpstr>
      <vt:lpstr>Pool</vt:lpstr>
      <vt:lpstr>Pool Stats</vt:lpstr>
      <vt:lpstr>Box Canon</vt:lpstr>
      <vt:lpstr>Box Cañon JE</vt:lpstr>
      <vt:lpstr>POOL JE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2024-08-29T16:32:16.772Z</dcterms:created>
  <dcterms:modified xsi:type="dcterms:W3CDTF">2024-08-29T16:32:16.772Z</dcterms:modified>
</cp:coreProperties>
</file>