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2\"/>
    </mc:Choice>
  </mc:AlternateContent>
  <bookViews>
    <workbookView xWindow="0" yWindow="0" windowWidth="20490" windowHeight="8340" activeTab="4"/>
  </bookViews>
  <sheets>
    <sheet name="Cash Flow" sheetId="2" r:id="rId1"/>
    <sheet name="Pool" sheetId="3" r:id="rId2"/>
    <sheet name="Pool Stats" sheetId="8" r:id="rId3"/>
    <sheet name="Visitor Center" sheetId="10" r:id="rId4"/>
    <sheet name="Box Canon" sheetId="9" r:id="rId5"/>
    <sheet name="Visitor Center JE" sheetId="11" r:id="rId6"/>
    <sheet name="Box Cañon JE" sheetId="7" r:id="rId7"/>
    <sheet name="POOL JE" sheetId="5" r:id="rId8"/>
  </sheets>
  <externalReferences>
    <externalReference r:id="rId9"/>
  </externalReferences>
  <definedNames>
    <definedName name="_xlnm.Print_Area" localSheetId="4">'Box Canon'!$A$2:$AH$46</definedName>
    <definedName name="_xlnm.Print_Area" localSheetId="6">'Box Cañon JE'!$A$1:$D$33</definedName>
    <definedName name="_xlnm.Print_Area" localSheetId="1">Pool!$A$1:$AH$54</definedName>
    <definedName name="_xlnm.Print_Area" localSheetId="7">'POOL JE'!$A$1:$C$60</definedName>
    <definedName name="_xlnm.Print_Area" localSheetId="3">'Visitor Center'!$A$1:$AH$14</definedName>
    <definedName name="_xlnm.Print_Area" localSheetId="5">'Visitor Center JE'!$A$1:$D$19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" i="10" l="1"/>
  <c r="X3" i="10"/>
  <c r="E45" i="3" l="1"/>
  <c r="D45" i="3"/>
  <c r="AH45" i="3" s="1"/>
  <c r="AB29" i="9" l="1"/>
  <c r="AL24" i="9" l="1"/>
  <c r="AM21" i="9" l="1"/>
  <c r="AL25" i="9" s="1"/>
  <c r="AM29" i="9"/>
  <c r="C12" i="5" l="1"/>
  <c r="C4" i="5"/>
  <c r="AC41" i="9" l="1"/>
  <c r="Y39" i="9"/>
  <c r="G33" i="9"/>
  <c r="G32" i="9"/>
  <c r="C45" i="5"/>
  <c r="C5" i="5"/>
  <c r="V43" i="9"/>
  <c r="AM45" i="3" l="1"/>
  <c r="AM34" i="3" s="1"/>
  <c r="AG34" i="3"/>
  <c r="AG29" i="9"/>
  <c r="AG45" i="3"/>
  <c r="AF34" i="3"/>
  <c r="AF45" i="3"/>
  <c r="AF29" i="9"/>
  <c r="AD29" i="9"/>
  <c r="AD34" i="3"/>
  <c r="AD45" i="3"/>
  <c r="X34" i="3"/>
  <c r="AB34" i="3"/>
  <c r="Y34" i="3"/>
  <c r="AB45" i="3"/>
  <c r="Y45" i="3"/>
  <c r="Y29" i="9"/>
  <c r="X29" i="9"/>
  <c r="X45" i="3"/>
  <c r="X21" i="9"/>
  <c r="AM8" i="10"/>
  <c r="AM13" i="10"/>
  <c r="AE45" i="3"/>
  <c r="AA45" i="3"/>
  <c r="Z45" i="3"/>
  <c r="AG8" i="3"/>
  <c r="AF8" i="3"/>
  <c r="AE8" i="3"/>
  <c r="AL7" i="10" l="1"/>
  <c r="AM7" i="10"/>
  <c r="AG44" i="9" l="1"/>
  <c r="AG43" i="9"/>
  <c r="AG41" i="9"/>
  <c r="AG40" i="9"/>
  <c r="AG39" i="9"/>
  <c r="AF44" i="9"/>
  <c r="AF43" i="9"/>
  <c r="AF41" i="9"/>
  <c r="AF40" i="9"/>
  <c r="AF39" i="9"/>
  <c r="AE44" i="9"/>
  <c r="AE43" i="9"/>
  <c r="AE41" i="9"/>
  <c r="AE40" i="9"/>
  <c r="AE39" i="9"/>
  <c r="AE19" i="9"/>
  <c r="AD43" i="9"/>
  <c r="AD41" i="9"/>
  <c r="AD40" i="9"/>
  <c r="AD39" i="9"/>
  <c r="AC44" i="9"/>
  <c r="AC43" i="9"/>
  <c r="AC40" i="9"/>
  <c r="AC39" i="9"/>
  <c r="AB44" i="9"/>
  <c r="AB43" i="9"/>
  <c r="AB41" i="9"/>
  <c r="AB40" i="9"/>
  <c r="AB39" i="9"/>
  <c r="AD8" i="3"/>
  <c r="AC8" i="3"/>
  <c r="AB8" i="3"/>
  <c r="AA8" i="3"/>
  <c r="Z8" i="3"/>
  <c r="X8" i="3"/>
  <c r="AA44" i="9" l="1"/>
  <c r="AA43" i="9"/>
  <c r="AA42" i="9"/>
  <c r="AA41" i="9"/>
  <c r="AA40" i="9"/>
  <c r="AA39" i="9"/>
  <c r="W8" i="3" l="1"/>
  <c r="V8" i="3"/>
  <c r="U17" i="3"/>
  <c r="U8" i="3"/>
  <c r="S8" i="3"/>
  <c r="R17" i="3"/>
  <c r="R8" i="3"/>
  <c r="Q8" i="3"/>
  <c r="Z44" i="9"/>
  <c r="Z43" i="9"/>
  <c r="Z41" i="9"/>
  <c r="Z40" i="9"/>
  <c r="Z39" i="9"/>
  <c r="Y44" i="9"/>
  <c r="Y43" i="9"/>
  <c r="Y40" i="9"/>
  <c r="Y32" i="9"/>
  <c r="Y4" i="9"/>
  <c r="X44" i="9"/>
  <c r="X43" i="9"/>
  <c r="X40" i="9"/>
  <c r="X39" i="9"/>
  <c r="R34" i="3" l="1"/>
  <c r="O45" i="3"/>
  <c r="O34" i="3"/>
  <c r="M45" i="3"/>
  <c r="M34" i="3"/>
  <c r="L45" i="3"/>
  <c r="L34" i="3"/>
  <c r="I45" i="3"/>
  <c r="I34" i="3"/>
  <c r="H45" i="3"/>
  <c r="H34" i="3"/>
  <c r="G45" i="3"/>
  <c r="G34" i="3"/>
  <c r="W43" i="9" l="1"/>
  <c r="V44" i="9"/>
  <c r="W44" i="9"/>
  <c r="W41" i="9"/>
  <c r="W40" i="9"/>
  <c r="W39" i="9"/>
  <c r="V40" i="9"/>
  <c r="V39" i="9"/>
  <c r="R45" i="3" l="1"/>
  <c r="G11" i="10"/>
  <c r="U44" i="9" l="1"/>
  <c r="U43" i="9"/>
  <c r="U41" i="9"/>
  <c r="U40" i="9"/>
  <c r="U39" i="9"/>
  <c r="T44" i="9"/>
  <c r="T43" i="9"/>
  <c r="T41" i="9"/>
  <c r="T40" i="9"/>
  <c r="T39" i="9"/>
  <c r="T6" i="9"/>
  <c r="T3" i="9"/>
  <c r="S43" i="9" l="1"/>
  <c r="S44" i="9"/>
  <c r="S41" i="9"/>
  <c r="S40" i="9"/>
  <c r="S39" i="9"/>
  <c r="R44" i="9"/>
  <c r="R43" i="9"/>
  <c r="R41" i="9"/>
  <c r="R40" i="9"/>
  <c r="R39" i="9"/>
  <c r="Q44" i="9"/>
  <c r="Q43" i="9"/>
  <c r="Q40" i="9"/>
  <c r="Q39" i="9"/>
  <c r="P44" i="9"/>
  <c r="P43" i="9"/>
  <c r="P41" i="9"/>
  <c r="P40" i="9"/>
  <c r="P39" i="9"/>
  <c r="O44" i="9"/>
  <c r="O43" i="9"/>
  <c r="O40" i="9"/>
  <c r="O39" i="9"/>
  <c r="P8" i="3"/>
  <c r="O8" i="3"/>
  <c r="N8" i="3"/>
  <c r="M17" i="3"/>
  <c r="M8" i="3"/>
  <c r="L8" i="3"/>
  <c r="J17" i="3"/>
  <c r="J8" i="3"/>
  <c r="N44" i="9" l="1"/>
  <c r="N43" i="9"/>
  <c r="N41" i="9"/>
  <c r="N40" i="9"/>
  <c r="N39" i="9"/>
  <c r="M44" i="9" l="1"/>
  <c r="M43" i="9"/>
  <c r="M40" i="9"/>
  <c r="M39" i="9"/>
  <c r="L43" i="9"/>
  <c r="L41" i="9"/>
  <c r="L40" i="9"/>
  <c r="L39" i="9"/>
  <c r="K44" i="9"/>
  <c r="K43" i="9"/>
  <c r="K41" i="9"/>
  <c r="K40" i="9"/>
  <c r="K39" i="9"/>
  <c r="C12" i="11" l="1"/>
  <c r="C10" i="11"/>
  <c r="B1" i="11"/>
  <c r="C13" i="11"/>
  <c r="AH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F11" i="10"/>
  <c r="D11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AH8" i="10"/>
  <c r="C11" i="11"/>
  <c r="AH7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G5" i="10"/>
  <c r="F5" i="10"/>
  <c r="D5" i="10"/>
  <c r="I5" i="10"/>
  <c r="H11" i="10"/>
  <c r="E11" i="10"/>
  <c r="C11" i="10"/>
  <c r="AH4" i="10"/>
  <c r="C4" i="11" s="1"/>
  <c r="AH3" i="10"/>
  <c r="C3" i="11" s="1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" i="10" a="1"/>
  <c r="AA1" i="10" s="1"/>
  <c r="B1" i="10"/>
  <c r="C15" i="11" l="1"/>
  <c r="C14" i="11"/>
  <c r="AL9" i="10"/>
  <c r="AH9" i="10"/>
  <c r="H1" i="10"/>
  <c r="J1" i="10"/>
  <c r="R1" i="10"/>
  <c r="Z1" i="10"/>
  <c r="H5" i="10"/>
  <c r="D1" i="10"/>
  <c r="L1" i="10"/>
  <c r="T1" i="10"/>
  <c r="AB1" i="10"/>
  <c r="AH5" i="10"/>
  <c r="E1" i="10"/>
  <c r="M1" i="10"/>
  <c r="U1" i="10"/>
  <c r="AC1" i="10"/>
  <c r="C5" i="10"/>
  <c r="I11" i="10"/>
  <c r="AH11" i="10" s="1"/>
  <c r="AL11" i="10" s="1"/>
  <c r="C6" i="11" s="1"/>
  <c r="D8" i="11" s="1"/>
  <c r="X1" i="10"/>
  <c r="P1" i="10"/>
  <c r="Q1" i="10"/>
  <c r="Y1" i="10"/>
  <c r="F1" i="10"/>
  <c r="N1" i="10"/>
  <c r="V1" i="10"/>
  <c r="AD1" i="10"/>
  <c r="G1" i="10"/>
  <c r="O1" i="10"/>
  <c r="W1" i="10"/>
  <c r="AE1" i="10"/>
  <c r="E5" i="10"/>
  <c r="AF1" i="10"/>
  <c r="I1" i="10"/>
  <c r="AG1" i="10"/>
  <c r="C1" i="10"/>
  <c r="K1" i="10"/>
  <c r="S1" i="10"/>
  <c r="I17" i="3"/>
  <c r="I8" i="3"/>
  <c r="H17" i="3"/>
  <c r="H8" i="3"/>
  <c r="G8" i="3"/>
  <c r="E8" i="3"/>
  <c r="D8" i="3"/>
  <c r="C17" i="3"/>
  <c r="C8" i="3"/>
  <c r="I44" i="9"/>
  <c r="I43" i="9"/>
  <c r="I41" i="9"/>
  <c r="I40" i="9"/>
  <c r="I39" i="9"/>
  <c r="H39" i="9"/>
  <c r="H44" i="9"/>
  <c r="H43" i="9"/>
  <c r="H41" i="9"/>
  <c r="H40" i="9"/>
  <c r="G40" i="9"/>
  <c r="G44" i="9"/>
  <c r="G43" i="9"/>
  <c r="G42" i="9"/>
  <c r="G41" i="9"/>
  <c r="G39" i="9"/>
  <c r="G4" i="9"/>
  <c r="D17" i="11" l="1"/>
  <c r="E12" i="11" s="1"/>
  <c r="AN9" i="10"/>
  <c r="AM12" i="10"/>
  <c r="AN12" i="10" s="1"/>
  <c r="F44" i="9"/>
  <c r="F43" i="9"/>
  <c r="F40" i="9"/>
  <c r="F39" i="9"/>
  <c r="E44" i="9"/>
  <c r="E43" i="9"/>
  <c r="E41" i="9"/>
  <c r="E40" i="9"/>
  <c r="E39" i="9"/>
  <c r="D44" i="9" l="1"/>
  <c r="D43" i="9"/>
  <c r="D41" i="9"/>
  <c r="D40" i="9"/>
  <c r="D39" i="9"/>
  <c r="C44" i="9"/>
  <c r="C43" i="9"/>
  <c r="C41" i="9"/>
  <c r="C40" i="9"/>
  <c r="C39" i="9"/>
  <c r="C18" i="7" l="1"/>
  <c r="C17" i="7"/>
  <c r="AM22" i="9"/>
  <c r="AL22" i="9"/>
  <c r="AL33" i="3" l="1"/>
  <c r="C19" i="7"/>
  <c r="AM20" i="9"/>
  <c r="AL20" i="9"/>
  <c r="C20" i="7"/>
  <c r="AH29" i="9" l="1"/>
  <c r="AN25" i="9" s="1"/>
  <c r="F41" i="9" l="1"/>
  <c r="O41" i="9"/>
  <c r="X41" i="9"/>
  <c r="Y41" i="9"/>
  <c r="J34" i="9"/>
  <c r="O34" i="9"/>
  <c r="Q34" i="9"/>
  <c r="X34" i="9"/>
  <c r="J33" i="9"/>
  <c r="AH34" i="9" l="1"/>
  <c r="AH41" i="9"/>
  <c r="AJ34" i="9" l="1"/>
  <c r="C27" i="7" s="1"/>
  <c r="C41" i="5"/>
  <c r="C42" i="5"/>
  <c r="AM35" i="3" l="1"/>
  <c r="AL35" i="3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40" i="3" l="1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0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AG42" i="9" l="1"/>
  <c r="AF42" i="9"/>
  <c r="AE42" i="9"/>
  <c r="AD42" i="9"/>
  <c r="AB42" i="9"/>
  <c r="Z42" i="9"/>
  <c r="Y42" i="9"/>
  <c r="X42" i="9"/>
  <c r="W42" i="9"/>
  <c r="T42" i="9"/>
  <c r="S42" i="9"/>
  <c r="R42" i="9"/>
  <c r="P42" i="9"/>
  <c r="O42" i="9"/>
  <c r="N42" i="9"/>
  <c r="M42" i="9"/>
  <c r="L42" i="9"/>
  <c r="K42" i="9"/>
  <c r="H42" i="9"/>
  <c r="F42" i="9"/>
  <c r="D42" i="9"/>
  <c r="J32" i="9"/>
  <c r="D35" i="9"/>
  <c r="E35" i="9"/>
  <c r="H35" i="9"/>
  <c r="I35" i="9"/>
  <c r="J35" i="9"/>
  <c r="K35" i="9"/>
  <c r="L35" i="9"/>
  <c r="M35" i="9"/>
  <c r="N35" i="9"/>
  <c r="O35" i="9"/>
  <c r="Q35" i="9"/>
  <c r="S35" i="9"/>
  <c r="T35" i="9"/>
  <c r="U35" i="9"/>
  <c r="V35" i="9"/>
  <c r="W35" i="9"/>
  <c r="X35" i="9"/>
  <c r="Y38" i="9"/>
  <c r="Z35" i="9"/>
  <c r="AB35" i="9"/>
  <c r="AC35" i="9"/>
  <c r="AD35" i="9"/>
  <c r="AE35" i="9"/>
  <c r="AF35" i="9"/>
  <c r="J36" i="9"/>
  <c r="J37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A18" i="9"/>
  <c r="T26" i="9"/>
  <c r="V24" i="9"/>
  <c r="X26" i="9"/>
  <c r="Z24" i="9"/>
  <c r="AB26" i="9"/>
  <c r="AD24" i="9"/>
  <c r="AF26" i="9"/>
  <c r="AH18" i="9"/>
  <c r="A19" i="9"/>
  <c r="T27" i="9"/>
  <c r="V27" i="9"/>
  <c r="X27" i="9"/>
  <c r="Z27" i="9"/>
  <c r="AB27" i="9"/>
  <c r="AD27" i="9"/>
  <c r="AF27" i="9"/>
  <c r="AH19" i="9"/>
  <c r="A20" i="9"/>
  <c r="AH20" i="9"/>
  <c r="A21" i="9"/>
  <c r="AH21" i="9"/>
  <c r="AH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U24" i="9"/>
  <c r="W24" i="9"/>
  <c r="Y24" i="9"/>
  <c r="AA24" i="9"/>
  <c r="AC24" i="9"/>
  <c r="AE24" i="9"/>
  <c r="AG24" i="9"/>
  <c r="C26" i="9"/>
  <c r="E26" i="9"/>
  <c r="G26" i="9"/>
  <c r="I26" i="9"/>
  <c r="K26" i="9"/>
  <c r="M26" i="9"/>
  <c r="O26" i="9"/>
  <c r="Q26" i="9"/>
  <c r="S26" i="9"/>
  <c r="U26" i="9"/>
  <c r="W26" i="9"/>
  <c r="Y26" i="9"/>
  <c r="AA26" i="9"/>
  <c r="AC26" i="9"/>
  <c r="AE26" i="9"/>
  <c r="AG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U27" i="9"/>
  <c r="W27" i="9"/>
  <c r="Y27" i="9"/>
  <c r="AA27" i="9"/>
  <c r="AC27" i="9"/>
  <c r="AE27" i="9"/>
  <c r="AG27" i="9"/>
  <c r="C6" i="7" l="1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N46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H27" i="9"/>
  <c r="AH15" i="9"/>
  <c r="AH8" i="9"/>
  <c r="AF46" i="9"/>
  <c r="AB46" i="9"/>
  <c r="X46" i="9"/>
  <c r="T46" i="9"/>
  <c r="AH33" i="9"/>
  <c r="AD26" i="9"/>
  <c r="Z26" i="9"/>
  <c r="V26" i="9"/>
  <c r="R26" i="9"/>
  <c r="N26" i="9"/>
  <c r="J26" i="9"/>
  <c r="F26" i="9"/>
  <c r="AF24" i="9"/>
  <c r="AB24" i="9"/>
  <c r="X24" i="9"/>
  <c r="T24" i="9"/>
  <c r="T38" i="9"/>
  <c r="P26" i="9"/>
  <c r="L26" i="9"/>
  <c r="H26" i="9"/>
  <c r="D26" i="9"/>
  <c r="AM33" i="3"/>
  <c r="AJ32" i="9" l="1"/>
  <c r="C25" i="7" s="1"/>
  <c r="AH46" i="9"/>
  <c r="AJ46" i="9" s="1"/>
  <c r="AJ35" i="9"/>
  <c r="C28" i="7" s="1"/>
  <c r="AH38" i="9"/>
  <c r="AH45" i="9"/>
  <c r="AJ37" i="9"/>
  <c r="C30" i="7" s="1"/>
  <c r="AJ36" i="9"/>
  <c r="C29" i="7" s="1"/>
  <c r="AJ33" i="9"/>
  <c r="C26" i="7" s="1"/>
  <c r="AH24" i="9"/>
  <c r="AH26" i="9"/>
  <c r="C9" i="7" l="1"/>
  <c r="C32" i="7"/>
  <c r="AH5" i="3"/>
  <c r="AH20" i="3" l="1"/>
  <c r="C15" i="5" s="1"/>
  <c r="AH9" i="3"/>
  <c r="C7" i="5" s="1"/>
  <c r="AH10" i="3"/>
  <c r="C8" i="5" s="1"/>
  <c r="AH11" i="3"/>
  <c r="C26" i="5" s="1"/>
  <c r="AH12" i="3"/>
  <c r="C27" i="5" s="1"/>
  <c r="AH13" i="3"/>
  <c r="C28" i="5" s="1"/>
  <c r="B1" i="3" l="1"/>
  <c r="AH29" i="3" l="1"/>
  <c r="D54" i="3" l="1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C54" i="3"/>
  <c r="AH8" i="3" l="1"/>
  <c r="C6" i="5" s="1"/>
  <c r="AH7" i="3"/>
  <c r="M2" i="8" l="1" a="1"/>
  <c r="M5" i="8" s="1"/>
  <c r="L2" i="8" a="1"/>
  <c r="L3" i="8" s="1"/>
  <c r="K2" i="8" a="1"/>
  <c r="K4" i="8" s="1"/>
  <c r="I2" i="8" a="1"/>
  <c r="I5" i="8" s="1"/>
  <c r="H2" i="8" a="1"/>
  <c r="H5" i="8" s="1"/>
  <c r="G2" i="8" a="1"/>
  <c r="G5" i="8" s="1"/>
  <c r="F2" i="8" a="1"/>
  <c r="F5" i="8" s="1"/>
  <c r="E2" i="8" a="1"/>
  <c r="E5" i="8" s="1"/>
  <c r="D2" i="8" a="1"/>
  <c r="D2" i="8" s="1"/>
  <c r="C2" i="8" a="1"/>
  <c r="C4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H32" i="8"/>
  <c r="H28" i="8"/>
  <c r="H24" i="8"/>
  <c r="H20" i="8"/>
  <c r="H16" i="8"/>
  <c r="H12" i="8"/>
  <c r="H8" i="8"/>
  <c r="H4" i="8"/>
  <c r="H31" i="8"/>
  <c r="H27" i="8"/>
  <c r="H23" i="8"/>
  <c r="H19" i="8"/>
  <c r="H15" i="8"/>
  <c r="H11" i="8"/>
  <c r="H7" i="8"/>
  <c r="H3" i="8"/>
  <c r="H30" i="8"/>
  <c r="H26" i="8"/>
  <c r="H22" i="8"/>
  <c r="H18" i="8"/>
  <c r="H14" i="8"/>
  <c r="H10" i="8"/>
  <c r="H6" i="8"/>
  <c r="H2" i="8"/>
  <c r="H29" i="8"/>
  <c r="H25" i="8"/>
  <c r="H21" i="8"/>
  <c r="H17" i="8"/>
  <c r="H13" i="8"/>
  <c r="H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C31" i="8"/>
  <c r="C27" i="8"/>
  <c r="C23" i="8"/>
  <c r="C19" i="8"/>
  <c r="C15" i="8"/>
  <c r="C11" i="8"/>
  <c r="C7" i="8"/>
  <c r="C3" i="8"/>
  <c r="C30" i="8"/>
  <c r="C26" i="8"/>
  <c r="C22" i="8"/>
  <c r="C18" i="8"/>
  <c r="C14" i="8"/>
  <c r="C10" i="8"/>
  <c r="C6" i="8"/>
  <c r="C2" i="8"/>
  <c r="C29" i="8"/>
  <c r="C25" i="8"/>
  <c r="C21" i="8"/>
  <c r="C17" i="8"/>
  <c r="C13" i="8"/>
  <c r="C9" i="8"/>
  <c r="C5" i="8"/>
  <c r="C32" i="8"/>
  <c r="C28" i="8"/>
  <c r="C24" i="8"/>
  <c r="C20" i="8"/>
  <c r="C16" i="8"/>
  <c r="C12" i="8"/>
  <c r="C8" i="8"/>
  <c r="A2" i="8"/>
  <c r="A3" i="8" s="1"/>
  <c r="B3" i="8" l="1"/>
  <c r="A4" i="8"/>
  <c r="B2" i="8"/>
  <c r="I34" i="8" l="1"/>
  <c r="B4" i="8"/>
  <c r="A5" i="8"/>
  <c r="G34" i="8"/>
  <c r="H34" i="8"/>
  <c r="C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0" i="3" l="1"/>
  <c r="AJ60" i="3" s="1"/>
  <c r="C60" i="5" s="1"/>
  <c r="AH59" i="3"/>
  <c r="AJ59" i="3" s="1"/>
  <c r="M34" i="8" s="1"/>
  <c r="AH58" i="3"/>
  <c r="AJ58" i="3" s="1"/>
  <c r="L34" i="8" s="1"/>
  <c r="AH57" i="3"/>
  <c r="AJ57" i="3" s="1"/>
  <c r="K34" i="8" s="1"/>
  <c r="C59" i="5" l="1"/>
  <c r="C58" i="5"/>
  <c r="C57" i="5"/>
  <c r="AH30" i="3" l="1"/>
  <c r="C44" i="5" l="1"/>
  <c r="C40" i="5"/>
  <c r="C38" i="5"/>
  <c r="C36" i="5"/>
  <c r="C37" i="5" l="1"/>
  <c r="C35" i="5" l="1"/>
  <c r="AH54" i="3" l="1"/>
  <c r="AJ54" i="3" s="1"/>
  <c r="C54" i="5" s="1"/>
  <c r="B8" i="2"/>
  <c r="B1" i="7" l="1"/>
  <c r="AH16" i="3" l="1"/>
  <c r="C11" i="5" s="1"/>
  <c r="AH17" i="3"/>
  <c r="D50" i="3" l="1"/>
  <c r="D52" i="3" s="1"/>
  <c r="E50" i="3"/>
  <c r="E52" i="3" s="1"/>
  <c r="F50" i="3"/>
  <c r="F52" i="3" s="1"/>
  <c r="G50" i="3"/>
  <c r="G52" i="3" s="1"/>
  <c r="H50" i="3"/>
  <c r="H52" i="3" s="1"/>
  <c r="I50" i="3"/>
  <c r="I52" i="3" s="1"/>
  <c r="J50" i="3"/>
  <c r="J52" i="3" s="1"/>
  <c r="K50" i="3"/>
  <c r="K52" i="3" s="1"/>
  <c r="L50" i="3"/>
  <c r="L52" i="3" s="1"/>
  <c r="M50" i="3"/>
  <c r="M52" i="3" s="1"/>
  <c r="N50" i="3"/>
  <c r="N52" i="3" s="1"/>
  <c r="O50" i="3"/>
  <c r="O52" i="3" s="1"/>
  <c r="P50" i="3"/>
  <c r="P52" i="3" s="1"/>
  <c r="Q50" i="3"/>
  <c r="Q52" i="3" s="1"/>
  <c r="R50" i="3"/>
  <c r="R52" i="3" s="1"/>
  <c r="S50" i="3"/>
  <c r="S52" i="3" s="1"/>
  <c r="T50" i="3"/>
  <c r="T52" i="3" s="1"/>
  <c r="U50" i="3"/>
  <c r="U52" i="3" s="1"/>
  <c r="V50" i="3"/>
  <c r="V52" i="3" s="1"/>
  <c r="W50" i="3"/>
  <c r="W52" i="3" s="1"/>
  <c r="X50" i="3"/>
  <c r="X52" i="3" s="1"/>
  <c r="Y50" i="3"/>
  <c r="Y52" i="3" s="1"/>
  <c r="Z50" i="3"/>
  <c r="Z52" i="3" s="1"/>
  <c r="AA50" i="3"/>
  <c r="AA52" i="3" s="1"/>
  <c r="AB50" i="3"/>
  <c r="AB52" i="3" s="1"/>
  <c r="AC50" i="3"/>
  <c r="AC52" i="3" s="1"/>
  <c r="AD50" i="3"/>
  <c r="AD52" i="3" s="1"/>
  <c r="AE50" i="3"/>
  <c r="AE52" i="3" s="1"/>
  <c r="AF50" i="3"/>
  <c r="AF52" i="3" s="1"/>
  <c r="AG50" i="3"/>
  <c r="AG52" i="3" s="1"/>
  <c r="C50" i="3"/>
  <c r="C52" i="3" s="1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8" i="3"/>
  <c r="AH47" i="3"/>
  <c r="AJ47" i="3" s="1"/>
  <c r="AH40" i="3"/>
  <c r="AH34" i="3"/>
  <c r="AH35" i="3"/>
  <c r="C39" i="5" s="1"/>
  <c r="AH36" i="3"/>
  <c r="AH37" i="3"/>
  <c r="AL37" i="3" s="1"/>
  <c r="C46" i="5" s="1"/>
  <c r="AH38" i="3"/>
  <c r="AL38" i="3" s="1"/>
  <c r="C47" i="5" l="1"/>
  <c r="AL39" i="3"/>
  <c r="AJ48" i="3"/>
  <c r="C51" i="5" s="1"/>
  <c r="C43" i="5"/>
  <c r="O34" i="8"/>
  <c r="C50" i="5"/>
  <c r="AM44" i="3" l="1"/>
  <c r="AN39" i="3"/>
  <c r="C52" i="5"/>
  <c r="AH52" i="3"/>
  <c r="AJ52" i="3" s="1"/>
  <c r="AH50" i="3"/>
  <c r="AJ50" i="3" s="1"/>
  <c r="AH26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3" i="3" l="1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D39" i="3"/>
  <c r="D41" i="3" s="1"/>
  <c r="E39" i="3"/>
  <c r="E41" i="3" s="1"/>
  <c r="F39" i="3"/>
  <c r="F41" i="3" s="1"/>
  <c r="G39" i="3"/>
  <c r="G41" i="3" s="1"/>
  <c r="H39" i="3"/>
  <c r="H41" i="3" s="1"/>
  <c r="I39" i="3"/>
  <c r="I41" i="3" s="1"/>
  <c r="J39" i="3"/>
  <c r="J41" i="3" s="1"/>
  <c r="K39" i="3"/>
  <c r="K41" i="3" s="1"/>
  <c r="L39" i="3"/>
  <c r="L41" i="3" s="1"/>
  <c r="M39" i="3"/>
  <c r="M41" i="3" s="1"/>
  <c r="N39" i="3"/>
  <c r="N41" i="3" s="1"/>
  <c r="O39" i="3"/>
  <c r="O41" i="3" s="1"/>
  <c r="P39" i="3"/>
  <c r="P41" i="3" s="1"/>
  <c r="Q39" i="3"/>
  <c r="Q41" i="3" s="1"/>
  <c r="R39" i="3"/>
  <c r="R41" i="3" s="1"/>
  <c r="S39" i="3"/>
  <c r="S41" i="3" s="1"/>
  <c r="T39" i="3"/>
  <c r="T41" i="3" s="1"/>
  <c r="U39" i="3"/>
  <c r="U41" i="3" s="1"/>
  <c r="V39" i="3"/>
  <c r="V41" i="3" s="1"/>
  <c r="W39" i="3"/>
  <c r="W41" i="3" s="1"/>
  <c r="X39" i="3"/>
  <c r="X41" i="3" s="1"/>
  <c r="Y39" i="3"/>
  <c r="Y41" i="3" s="1"/>
  <c r="Z39" i="3"/>
  <c r="Z41" i="3" s="1"/>
  <c r="AA39" i="3"/>
  <c r="AA41" i="3" s="1"/>
  <c r="AB39" i="3"/>
  <c r="AB41" i="3" s="1"/>
  <c r="AC39" i="3"/>
  <c r="AC41" i="3" s="1"/>
  <c r="AD39" i="3"/>
  <c r="AD41" i="3" s="1"/>
  <c r="AE39" i="3"/>
  <c r="AE41" i="3" s="1"/>
  <c r="AF39" i="3"/>
  <c r="AF41" i="3" s="1"/>
  <c r="AG39" i="3"/>
  <c r="AG41" i="3" s="1"/>
  <c r="D29" i="3"/>
  <c r="D31" i="3" s="1"/>
  <c r="E29" i="3"/>
  <c r="E31" i="3" s="1"/>
  <c r="F29" i="3"/>
  <c r="F31" i="3" s="1"/>
  <c r="G29" i="3"/>
  <c r="G31" i="3" s="1"/>
  <c r="H29" i="3"/>
  <c r="H31" i="3" s="1"/>
  <c r="I29" i="3"/>
  <c r="I31" i="3" s="1"/>
  <c r="J29" i="3"/>
  <c r="J31" i="3" s="1"/>
  <c r="K29" i="3"/>
  <c r="K31" i="3" s="1"/>
  <c r="L29" i="3"/>
  <c r="L31" i="3" s="1"/>
  <c r="M29" i="3"/>
  <c r="M31" i="3" s="1"/>
  <c r="N29" i="3"/>
  <c r="N31" i="3" s="1"/>
  <c r="O29" i="3"/>
  <c r="O31" i="3" s="1"/>
  <c r="P29" i="3"/>
  <c r="P31" i="3" s="1"/>
  <c r="Q29" i="3"/>
  <c r="Q31" i="3" s="1"/>
  <c r="R29" i="3"/>
  <c r="R31" i="3" s="1"/>
  <c r="S29" i="3"/>
  <c r="S31" i="3" s="1"/>
  <c r="T29" i="3"/>
  <c r="T31" i="3" s="1"/>
  <c r="U29" i="3"/>
  <c r="U31" i="3" s="1"/>
  <c r="V29" i="3"/>
  <c r="V31" i="3" s="1"/>
  <c r="W29" i="3"/>
  <c r="W31" i="3" s="1"/>
  <c r="X29" i="3"/>
  <c r="X31" i="3" s="1"/>
  <c r="Y29" i="3"/>
  <c r="Y31" i="3" s="1"/>
  <c r="Z29" i="3"/>
  <c r="Z31" i="3" s="1"/>
  <c r="AA29" i="3"/>
  <c r="AA31" i="3" s="1"/>
  <c r="AB29" i="3"/>
  <c r="AB31" i="3" s="1"/>
  <c r="AC29" i="3"/>
  <c r="AC31" i="3" s="1"/>
  <c r="AD29" i="3"/>
  <c r="AD31" i="3" s="1"/>
  <c r="AE29" i="3"/>
  <c r="AE31" i="3" s="1"/>
  <c r="AF29" i="3"/>
  <c r="AF31" i="3" s="1"/>
  <c r="AG29" i="3"/>
  <c r="AG31" i="3" s="1"/>
  <c r="AH33" i="3"/>
  <c r="AH4" i="3"/>
  <c r="AH6" i="3"/>
  <c r="AH14" i="3"/>
  <c r="C9" i="5" s="1"/>
  <c r="AH15" i="3"/>
  <c r="C10" i="5" s="1"/>
  <c r="AH18" i="3"/>
  <c r="AL18" i="3" s="1"/>
  <c r="AH19" i="3"/>
  <c r="C13" i="5" s="1"/>
  <c r="AH21" i="3"/>
  <c r="C14" i="5" s="1"/>
  <c r="AH22" i="3"/>
  <c r="C16" i="5" s="1"/>
  <c r="AH23" i="3"/>
  <c r="C17" i="5" s="1"/>
  <c r="AH24" i="3"/>
  <c r="C18" i="5" s="1"/>
  <c r="AH25" i="3"/>
  <c r="C19" i="5" s="1"/>
  <c r="AH27" i="3"/>
  <c r="C21" i="5" s="1"/>
  <c r="AH28" i="3"/>
  <c r="C29" i="5" s="1"/>
  <c r="AH3" i="3"/>
  <c r="C25" i="5" s="1"/>
  <c r="C43" i="3"/>
  <c r="C29" i="3"/>
  <c r="C31" i="3" s="1"/>
  <c r="R40" i="2"/>
  <c r="Q40" i="2"/>
  <c r="P40" i="2"/>
  <c r="O40" i="2"/>
  <c r="R42" i="2" s="1"/>
  <c r="M40" i="2"/>
  <c r="L40" i="2"/>
  <c r="K40" i="2"/>
  <c r="J40" i="2"/>
  <c r="F40" i="2"/>
  <c r="E40" i="2"/>
  <c r="A9" i="2"/>
  <c r="C30" i="5" l="1"/>
  <c r="A10" i="2"/>
  <c r="B9" i="2"/>
  <c r="C40" i="2"/>
  <c r="G40" i="2"/>
  <c r="E43" i="3"/>
  <c r="AH43" i="3" s="1"/>
  <c r="AH31" i="3"/>
  <c r="C39" i="3"/>
  <c r="O42" i="2"/>
  <c r="Q42" i="2"/>
  <c r="A11" i="2" l="1"/>
  <c r="B10" i="2"/>
  <c r="AL43" i="3"/>
  <c r="AH39" i="3"/>
  <c r="C41" i="3"/>
  <c r="AH41" i="3" s="1"/>
  <c r="C22" i="5" l="1"/>
  <c r="C32" i="5" s="1"/>
  <c r="C48" i="5"/>
  <c r="AN44" i="3"/>
  <c r="AJ41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9" l="1" a="1"/>
  <c r="C1" i="3" a="1"/>
  <c r="AG1" i="9" l="1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Julie Lancaster</author>
    <author>MartyJo Davis</author>
  </authors>
  <commentList>
    <comment ref="AJ18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50% 50-40-4030
50% 50-43-4010
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 xml:space="preserve">Julie Lancaster:
</t>
        </r>
        <r>
          <rPr>
            <sz val="9"/>
            <color indexed="81"/>
            <rFont val="Tahoma"/>
            <family val="2"/>
          </rPr>
          <t>.81 cent pin pad transaction not associated with any receipt. Could not refund, amount become an over/short</t>
        </r>
      </text>
    </comment>
    <comment ref="Q31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$315 customer credit manual payment credit memo</t>
        </r>
      </text>
    </comment>
    <comment ref="AB31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a cash transaction to account credit for $90. no cash received, no account credit</t>
        </r>
      </text>
    </comment>
    <comment ref="AE31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acct balance correction "paid" with a credit memo</t>
        </r>
      </text>
    </comment>
    <comment ref="AN3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
one drawer short 15.05, mgmt drawer short 58, last drawer short 70 cents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note from cashier: "From approx 1:30pm to 2:15 pm computer was down. Discrepency in cash due to sales being rung up to test computer"
receipt 1026969.002 referenced on cash receipts report ($124 cash transaction)</t>
        </r>
      </text>
    </comment>
    <comment ref="I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transaction 1026969.002 refunded in system since it was the test transaction from previous day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V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X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
note from cashier: "$16 short was on a cash/cc split. Maybe I didn't do it right!!"</t>
        </r>
      </text>
    </comment>
    <comment ref="Y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
one cashier was 27.33 short and just noted it with a question mark</t>
        </r>
      </text>
    </comment>
    <comment ref="Z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
one cashier short 30.11, another short 18.87, and another 28.88 short.
</t>
        </r>
      </text>
    </comment>
    <comment ref="AA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cashier short 247.50 cash, $260 cash sale should have been two motel pass redeems and 2 towels @ $10 each. Debbie refunded $240 motel pass sale on 8/3</t>
        </r>
      </text>
    </comment>
    <comment ref="AB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E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G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N4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8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0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2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Julie Lancaster</author>
    <author>MartyJo Davis</author>
  </authors>
  <commentList>
    <comment ref="X3" authorId="0" shapeId="0">
      <text>
        <r>
          <rPr>
            <b/>
            <sz val="9"/>
            <color indexed="81"/>
            <rFont val="Tahoma"/>
            <family val="2"/>
          </rPr>
          <t xml:space="preserve">Julie Lancaster:
</t>
        </r>
        <r>
          <rPr>
            <sz val="9"/>
            <color indexed="81"/>
            <rFont val="Tahoma"/>
            <family val="2"/>
          </rPr>
          <t>return shipping for lost and found paid in POS. product should not be taxable, reversing tax. Receipt 1000051.004</t>
        </r>
      </text>
    </comment>
    <comment ref="AN11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4.xml><?xml version="1.0" encoding="utf-8"?>
<comments xmlns="http://schemas.openxmlformats.org/spreadsheetml/2006/main">
  <authors>
    <author>MartyJo Davis</author>
    <author>Julie Lancaster</author>
  </authors>
  <commentList>
    <comment ref="AN2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D26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cash, change bag short, will short future deposit by $30</t>
        </r>
      </text>
    </comment>
    <comment ref="G26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cashier shorted deposit by $30 to correct 7/2 deposit
 </t>
        </r>
      </text>
    </comment>
    <comment ref="G3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manually subtracted 2 for cash trans that cashier noted should be voided</t>
        </r>
      </text>
    </comment>
    <comment ref="J3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no morning report printed, out of paper</t>
        </r>
      </text>
    </comment>
    <comment ref="Y3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receipt with note charged 4 adults when it should have been 3, cashier gave customer $5 back (originally CC trans)</t>
        </r>
      </text>
    </comment>
    <comment ref="G3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manually subtracted 2 for cash trans that cashier noted should be voided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50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<sst xmlns="http://schemas.openxmlformats.org/spreadsheetml/2006/main" count="527" uniqueCount="239">
  <si>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</si>
  <si>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</si>
  <si>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</si>
  <si>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</si>
  <si>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</si>
  <si>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</si>
  <si>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</si>
  <si>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</si>
  <si>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</si>
  <si>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</si>
  <si>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</si>
  <si>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</si>
  <si>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</si>
  <si>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</si>
  <si>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</si>
  <si>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</si>
  <si>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</si>
  <si>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</si>
  <si>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</si>
  <si>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</si>
  <si>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</si>
  <si>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</si>
  <si>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</si>
  <si>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</si>
  <si>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</si>
  <si>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</si>
  <si>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</si>
  <si>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</si>
  <si>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</si>
  <si>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</si>
  <si>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</si>
  <si>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</si>
  <si>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</si>
  <si>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</si>
  <si>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</si>
  <si>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</si>
  <si>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</si>
  <si>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</si>
  <si>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</si>
  <si>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</si>
  <si>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</si>
  <si>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</si>
  <si>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</si>
  <si>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</si>
  <si>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</si>
  <si>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</si>
  <si>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</si>
  <si>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</si>
  <si>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</si>
  <si>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</si>
  <si>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</si>
  <si>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</si>
  <si>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</si>
  <si>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</si>
  <si>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</si>
  <si>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</si>
  <si>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</si>
  <si>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</si>
  <si>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</si>
  <si>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</si>
  <si>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</si>
  <si>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</si>
  <si>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</si>
  <si>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</si>
  <si>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Pool/Gym Revenue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</si>
  <si>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</si>
  <si>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</si>
  <si>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</si>
  <si>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</si>
  <si>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</si>
  <si>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</si>
  <si>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</si>
  <si>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</si>
  <si>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</si>
  <si>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</si>
  <si>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</si>
  <si>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</si>
  <si>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</si>
  <si>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</si>
  <si>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</si>
  <si>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</si>
  <si>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</si>
  <si>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</si>
  <si>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</si>
  <si>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</si>
  <si>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</si>
  <si>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</si>
  <si>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</si>
  <si>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</si>
  <si>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</si>
  <si>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</si>
  <si>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</si>
  <si>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</si>
  <si>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</si>
  <si>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</si>
  <si>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</si>
  <si>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</si>
  <si>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</si>
  <si>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</si>
  <si>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</si>
  <si>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</si>
  <si>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</si>
  <si>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</si>
  <si>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</si>
  <si>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</si>
  <si>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</si>
  <si>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</si>
  <si>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</si>
  <si>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</si>
  <si>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</si>
  <si>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</si>
  <si>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</si>
  <si>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</si>
  <si>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</si>
  <si>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</si>
  <si>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</si>
  <si>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>CC Processor Adjustments Cleared</t>
  </si>
  <si>
    <t>CC Processor Adjustments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</si>
  <si>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</si>
  <si>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</si>
  <si>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</si>
  <si>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</si>
  <si>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</si>
  <si>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</si>
  <si>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</si>
  <si>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</si>
  <si>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</si>
  <si>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</si>
  <si>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</si>
  <si>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</si>
  <si>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</si>
  <si>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</si>
  <si>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</si>
  <si>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</si>
  <si>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</si>
  <si>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</si>
  <si>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</si>
  <si>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</si>
  <si>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</si>
  <si>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</si>
  <si>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</si>
  <si>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</si>
  <si>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</si>
  <si>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</si>
  <si>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</si>
  <si>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</si>
  <si>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</si>
  <si>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</si>
  <si>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</si>
  <si>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</si>
  <si>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</si>
  <si>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</si>
  <si>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</si>
  <si>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</si>
  <si>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</si>
  <si>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</si>
  <si>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</si>
  <si>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</si>
  <si>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</si>
  <si>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</si>
  <si>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</si>
  <si>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</si>
  <si>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</si>
  <si>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</si>
  <si>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</si>
  <si>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</si>
  <si>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</si>
  <si>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</si>
  <si>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</si>
  <si>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</si>
  <si>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</si>
  <si>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</si>
  <si>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</si>
  <si>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</si>
  <si>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</si>
  <si>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Admission - Motel Pass (Bulk)</t>
  </si>
  <si>
    <t>Redeemed Gift Certificates</t>
  </si>
  <si>
    <t>Pool Admissions + Motel Bulk Admission +50% Pool/Gym Rev. - Admission Discounts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</si>
  <si>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</si>
  <si>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</si>
  <si>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</si>
  <si>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</si>
  <si>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</si>
  <si>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</si>
  <si>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</si>
  <si>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</si>
  <si>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</si>
  <si>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</si>
  <si>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</si>
  <si>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</si>
  <si>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</si>
  <si>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</si>
  <si>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</si>
  <si>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</si>
  <si>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</si>
  <si>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</si>
  <si>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</si>
  <si>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</si>
  <si>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</si>
  <si>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**50/50**</t>
  </si>
  <si>
    <t>All pool memberships + 50% pool/gym memberships</t>
  </si>
  <si>
    <t>Gym only passes/memberships + 50% pool/gym rev.</t>
  </si>
  <si>
    <t>Slide Add-on</t>
  </si>
  <si>
    <t>10-45-4205</t>
  </si>
  <si>
    <t>Processing Fees</t>
  </si>
  <si>
    <t>50-50-6150</t>
  </si>
  <si>
    <t>CC Processing Fees</t>
  </si>
  <si>
    <t>CC Processing Fees Cleared</t>
  </si>
  <si>
    <t>CC Processing Fees Outstanding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</si>
  <si>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</si>
  <si>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</si>
  <si>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</si>
  <si>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</si>
  <si>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</si>
  <si>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</si>
  <si>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BC CC Processing Fees Cleared</t>
  </si>
  <si>
    <t>BC CC Processing Fees Outstanding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</si>
  <si>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</si>
  <si>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</si>
  <si>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</si>
  <si>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</si>
  <si>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</si>
  <si>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July</t>
  </si>
  <si>
    <t>Visitor Center Merch</t>
  </si>
  <si>
    <t>60-40-4020</t>
  </si>
  <si>
    <t>Visitor Center</t>
  </si>
  <si>
    <t>Visitor Center Cash/Check</t>
  </si>
  <si>
    <t>Visitor Center Credit Card less processing fees</t>
  </si>
  <si>
    <t>Visitor Center Over/Short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</si>
  <si>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</si>
  <si>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</si>
  <si>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</si>
  <si>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</si>
  <si>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</si>
  <si>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VC CC Processing Fees Cleared</t>
  </si>
  <si>
    <t>VC CC Processing Fees Outstanding</t>
  </si>
  <si>
    <t>60-50-6150</t>
  </si>
  <si>
    <t>60-40-4031</t>
  </si>
  <si>
    <t>Program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</si>
</sst>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0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43" fontId="21" fillId="0" borderId="0" xfId="0" applyNumberFormat="1" applyFont="1" applyBorder="1" applyProtection="1">
      <protection locked="0"/>
    </xf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0" fontId="12" fillId="0" borderId="37" xfId="0" applyFont="1" applyBorder="1" applyAlignment="1" applyProtection="1">
      <alignment horizontal="right"/>
      <protection locked="0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8" xfId="0" applyNumberFormat="1" applyFont="1" applyFill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0" fillId="0" borderId="36" xfId="0" applyBorder="1" applyAlignment="1" applyProtection="1">
      <alignment wrapText="1"/>
      <protection locked="0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2" fillId="0" borderId="23" xfId="0" applyNumberFormat="1" applyFont="1" applyBorder="1"/>
    <xf numFmtId="43" fontId="12" fillId="0" borderId="57" xfId="0" applyNumberFormat="1" applyFont="1" applyBorder="1" applyProtection="1"/>
    <xf numFmtId="43" fontId="12" fillId="0" borderId="86" xfId="0" applyNumberFormat="1" applyFont="1" applyBorder="1" applyProtection="1"/>
    <xf numFmtId="43" fontId="12" fillId="0" borderId="85" xfId="0" applyNumberFormat="1" applyFont="1" applyBorder="1" applyProtection="1"/>
    <xf numFmtId="43" fontId="14" fillId="0" borderId="75" xfId="0" applyNumberFormat="1" applyFont="1" applyFill="1" applyBorder="1" applyProtection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43" fontId="12" fillId="0" borderId="62" xfId="0" applyNumberFormat="1" applyFont="1" applyBorder="1" applyProtection="1"/>
    <xf numFmtId="43" fontId="14" fillId="0" borderId="87" xfId="0" applyNumberFormat="1" applyFont="1" applyFill="1" applyBorder="1" applyProtection="1"/>
    <xf numFmtId="2" fontId="12" fillId="0" borderId="46" xfId="0" applyNumberFormat="1" applyFont="1" applyBorder="1" applyProtection="1"/>
    <xf numFmtId="2" fontId="12" fillId="0" borderId="58" xfId="0" applyNumberFormat="1" applyFont="1" applyBorder="1" applyProtection="1"/>
    <xf numFmtId="2" fontId="14" fillId="0" borderId="47" xfId="0" applyNumberFormat="1" applyFont="1" applyFill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43" fontId="13" fillId="0" borderId="73" xfId="0" applyNumberFormat="1" applyFont="1" applyFill="1" applyBorder="1" applyProtection="1"/>
    <xf numFmtId="43" fontId="45" fillId="0" borderId="17" xfId="0" applyNumberFormat="1" applyFont="1" applyBorder="1" applyProtection="1"/>
    <xf numFmtId="43" fontId="45" fillId="0" borderId="9" xfId="0" applyNumberFormat="1" applyFont="1" applyBorder="1" applyProtection="1"/>
    <xf numFmtId="43" fontId="45" fillId="0" borderId="18" xfId="0" applyNumberFormat="1" applyFont="1" applyBorder="1" applyProtection="1"/>
    <xf numFmtId="43" fontId="45" fillId="0" borderId="20" xfId="0" applyNumberFormat="1" applyFont="1" applyBorder="1" applyProtection="1"/>
    <xf numFmtId="44" fontId="13" fillId="0" borderId="0" xfId="0" applyNumberFormat="1" applyFont="1" applyProtection="1">
      <protection locked="0"/>
    </xf>
    <xf numFmtId="43" fontId="45" fillId="0" borderId="19" xfId="0" applyNumberFormat="1" applyFont="1" applyFill="1" applyBorder="1" applyProtection="1"/>
    <xf numFmtId="43" fontId="45" fillId="0" borderId="9" xfId="0" applyNumberFormat="1" applyFont="1" applyFill="1" applyBorder="1" applyProtection="1"/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FFFF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9" sqref="A9"/>
    </sheetView>
  </sheetViews>
  <sheetFormatPr defaultColWidth="8.85546875" defaultRowHeight="12.75" x14ac:dyDescent="0.2"/>
  <cols>
    <col min="1" max="1" width="10.140625" style="2" bestFit="1" customWidth="1"/>
    <col min="2" max="2" width="4.5703125" style="230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5" t="s">
        <v>222</v>
      </c>
      <c r="D1" s="386">
        <v>2022</v>
      </c>
      <c r="G1" s="218"/>
    </row>
    <row r="3" spans="1:22" x14ac:dyDescent="0.2">
      <c r="A3" s="5"/>
    </row>
    <row r="4" spans="1:22" s="1" customFormat="1" x14ac:dyDescent="0.2">
      <c r="B4" s="231"/>
      <c r="C4" s="484" t="s">
        <v>1</v>
      </c>
      <c r="D4" s="485"/>
      <c r="E4" s="485"/>
      <c r="F4" s="485"/>
      <c r="G4" s="485"/>
      <c r="H4" s="485"/>
      <c r="I4" s="485"/>
      <c r="J4" s="485"/>
      <c r="K4" s="485"/>
      <c r="L4" s="485"/>
      <c r="M4" s="486"/>
      <c r="N4" s="6"/>
      <c r="O4" s="487" t="s">
        <v>2</v>
      </c>
      <c r="P4" s="488"/>
      <c r="Q4" s="488"/>
      <c r="R4" s="489"/>
      <c r="S4" s="7"/>
      <c r="T4" s="8" t="s">
        <v>3</v>
      </c>
    </row>
    <row r="5" spans="1:22" x14ac:dyDescent="0.2">
      <c r="B5" s="232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1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110</v>
      </c>
      <c r="H6" s="14" t="s">
        <v>101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3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7">
        <v>44743</v>
      </c>
      <c r="B8" s="233" t="str">
        <f>TEXT(A8, "DDD")</f>
        <v>Fri</v>
      </c>
      <c r="C8" s="152">
        <f t="array" ref="C8:C38">TRANSPOSE(Pool!C33:AG33)</f>
        <v>2590.7800000000002</v>
      </c>
      <c r="D8" s="58">
        <f>'Box Canon'!C18+'Box Canon'!C19</f>
        <v>1173.23</v>
      </c>
      <c r="E8" s="21"/>
      <c r="F8" s="21"/>
      <c r="G8" s="151">
        <f t="array" ref="G8:G38">TRANSPOSE(Pool!C34:AG34)</f>
        <v>12986.9</v>
      </c>
      <c r="H8" s="151">
        <f t="array" ref="H8:H38">TRANSPOSE(Pool!C35:AG35)</f>
        <v>0</v>
      </c>
      <c r="I8" s="151">
        <f>'Box Canon'!C20+'Box Canon'!C21</f>
        <v>1436.77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7">
        <f>SUM(A8+1)</f>
        <v>44744</v>
      </c>
      <c r="B9" s="233" t="str">
        <f t="shared" ref="B9:B38" si="0">TEXT(A9, "DDD")</f>
        <v>Sat</v>
      </c>
      <c r="C9" s="152">
        <v>2590.15</v>
      </c>
      <c r="D9" s="58">
        <f>'Box Canon'!D18+'Box Canon'!D19</f>
        <v>1538.4</v>
      </c>
      <c r="E9" s="21"/>
      <c r="F9" s="21"/>
      <c r="G9" s="151">
        <v>19405.02</v>
      </c>
      <c r="H9" s="151">
        <v>0</v>
      </c>
      <c r="I9" s="151">
        <f>'Box Canon'!D20+'Box Canon'!D21</f>
        <v>2258.44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7">
        <f t="shared" ref="A10:A38" si="1">SUM(A9+1)</f>
        <v>44745</v>
      </c>
      <c r="B10" s="233" t="str">
        <f t="shared" si="0"/>
        <v>Sun</v>
      </c>
      <c r="C10" s="152">
        <v>2905.5</v>
      </c>
      <c r="D10" s="58">
        <f>'Box Canon'!E18+'Box Canon'!E19</f>
        <v>1978.1</v>
      </c>
      <c r="E10" s="21"/>
      <c r="F10" s="21"/>
      <c r="G10" s="151">
        <v>19952.86</v>
      </c>
      <c r="H10" s="151">
        <v>0</v>
      </c>
      <c r="I10" s="151">
        <f>'Box Canon'!E20+'Box Canon'!E21</f>
        <v>3106.2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7">
        <f t="shared" si="1"/>
        <v>44746</v>
      </c>
      <c r="B11" s="233" t="str">
        <f t="shared" si="0"/>
        <v>Mon</v>
      </c>
      <c r="C11" s="152">
        <v>3657.53</v>
      </c>
      <c r="D11" s="58">
        <f>'Box Canon'!F18+'Box Canon'!F19</f>
        <v>1594.24</v>
      </c>
      <c r="E11" s="21"/>
      <c r="F11" s="21"/>
      <c r="G11" s="151">
        <v>13649.34</v>
      </c>
      <c r="H11" s="153">
        <v>0</v>
      </c>
      <c r="I11" s="151">
        <f>'Box Canon'!F20+'Box Canon'!F21</f>
        <v>2183.23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7">
        <f t="shared" si="1"/>
        <v>44747</v>
      </c>
      <c r="B12" s="233" t="str">
        <f t="shared" si="0"/>
        <v>Tue</v>
      </c>
      <c r="C12" s="152">
        <v>1283.93</v>
      </c>
      <c r="D12" s="58">
        <f>'Box Canon'!G18+'Box Canon'!G19</f>
        <v>826.73</v>
      </c>
      <c r="E12" s="21"/>
      <c r="F12" s="21"/>
      <c r="G12" s="151">
        <v>8756.2999999999993</v>
      </c>
      <c r="H12" s="153">
        <v>0</v>
      </c>
      <c r="I12" s="151">
        <f>'Box Canon'!G20+'Box Canon'!G21</f>
        <v>1900.48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7">
        <f t="shared" si="1"/>
        <v>44748</v>
      </c>
      <c r="B13" s="233" t="str">
        <f t="shared" si="0"/>
        <v>Wed</v>
      </c>
      <c r="C13" s="152">
        <v>1189.05</v>
      </c>
      <c r="D13" s="58">
        <f>'Box Canon'!H18+'Box Canon'!H19</f>
        <v>1450.82</v>
      </c>
      <c r="E13" s="21"/>
      <c r="F13" s="21"/>
      <c r="G13" s="151">
        <v>10981.54</v>
      </c>
      <c r="H13" s="153">
        <v>0</v>
      </c>
      <c r="I13" s="151">
        <f>'Box Canon'!H20+'Box Canon'!H21</f>
        <v>1813.29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7">
        <f t="shared" si="1"/>
        <v>44749</v>
      </c>
      <c r="B14" s="233" t="str">
        <f t="shared" si="0"/>
        <v>Thu</v>
      </c>
      <c r="C14" s="152">
        <v>2773.84</v>
      </c>
      <c r="D14" s="58">
        <f>'Box Canon'!I18+'Box Canon'!I19</f>
        <v>1505.73</v>
      </c>
      <c r="E14" s="21"/>
      <c r="F14" s="21"/>
      <c r="G14" s="151">
        <v>16309.240000000002</v>
      </c>
      <c r="H14" s="153">
        <v>0</v>
      </c>
      <c r="I14" s="151">
        <f>'Box Canon'!I20+'Box Canon'!I21</f>
        <v>2256.2600000000002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7">
        <f t="shared" si="1"/>
        <v>44750</v>
      </c>
      <c r="B15" s="233" t="str">
        <f t="shared" si="0"/>
        <v>Fri</v>
      </c>
      <c r="C15" s="152">
        <v>2586.66</v>
      </c>
      <c r="D15" s="58">
        <f>'Box Canon'!J18+'Box Canon'!J19</f>
        <v>1140.1599999999999</v>
      </c>
      <c r="E15" s="21"/>
      <c r="F15" s="21"/>
      <c r="G15" s="151">
        <v>17458.16</v>
      </c>
      <c r="H15" s="153">
        <v>0</v>
      </c>
      <c r="I15" s="151">
        <f>'Box Canon'!J20+'Box Canon'!J21</f>
        <v>2468.7600000000002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7">
        <f t="shared" si="1"/>
        <v>44751</v>
      </c>
      <c r="B16" s="233" t="str">
        <f t="shared" si="0"/>
        <v>Sat</v>
      </c>
      <c r="C16" s="152">
        <v>2132.6999999999998</v>
      </c>
      <c r="D16" s="58">
        <f>'Box Canon'!K18+'Box Canon'!K19</f>
        <v>1494.04</v>
      </c>
      <c r="E16" s="21"/>
      <c r="F16" s="21"/>
      <c r="G16" s="151">
        <v>15846.72</v>
      </c>
      <c r="H16" s="153">
        <v>0</v>
      </c>
      <c r="I16" s="151">
        <f>'Box Canon'!K20+'Box Canon'!K21</f>
        <v>2006.72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7">
        <f t="shared" si="1"/>
        <v>44752</v>
      </c>
      <c r="B17" s="233" t="str">
        <f t="shared" si="0"/>
        <v>Sun</v>
      </c>
      <c r="C17" s="152">
        <v>1429.84</v>
      </c>
      <c r="D17" s="58">
        <f>'Box Canon'!L18+'Box Canon'!L19</f>
        <v>1107.42</v>
      </c>
      <c r="E17" s="21"/>
      <c r="F17" s="21"/>
      <c r="G17" s="151">
        <v>7447.86</v>
      </c>
      <c r="H17" s="153">
        <v>0</v>
      </c>
      <c r="I17" s="151">
        <f>'Box Canon'!L20+'Box Canon'!L21</f>
        <v>1349.83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7">
        <f t="shared" si="1"/>
        <v>44753</v>
      </c>
      <c r="B18" s="233" t="str">
        <f t="shared" si="0"/>
        <v>Mon</v>
      </c>
      <c r="C18" s="152">
        <v>2216.04</v>
      </c>
      <c r="D18" s="58">
        <f>'Box Canon'!M18+'Box Canon'!M19</f>
        <v>1304.49</v>
      </c>
      <c r="E18" s="21"/>
      <c r="F18" s="21"/>
      <c r="G18" s="151">
        <v>12904.46</v>
      </c>
      <c r="H18" s="153">
        <v>0</v>
      </c>
      <c r="I18" s="151">
        <f>'Box Canon'!M20+'Box Canon'!M21</f>
        <v>1759.42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7">
        <f t="shared" si="1"/>
        <v>44754</v>
      </c>
      <c r="B19" s="233" t="str">
        <f t="shared" si="0"/>
        <v>Tue</v>
      </c>
      <c r="C19" s="152">
        <v>2247.33</v>
      </c>
      <c r="D19" s="58">
        <f>'Box Canon'!N18+'Box Canon'!N19</f>
        <v>1248.67</v>
      </c>
      <c r="E19" s="21"/>
      <c r="F19" s="21"/>
      <c r="G19" s="151">
        <v>10847.76</v>
      </c>
      <c r="H19" s="153">
        <v>0</v>
      </c>
      <c r="I19" s="151">
        <f>'Box Canon'!N20+'Box Canon'!N21</f>
        <v>1678.98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7">
        <f t="shared" si="1"/>
        <v>44755</v>
      </c>
      <c r="B20" s="233" t="str">
        <f t="shared" si="0"/>
        <v>Wed</v>
      </c>
      <c r="C20" s="152">
        <v>2624.95</v>
      </c>
      <c r="D20" s="58">
        <f>'Box Canon'!O18+'Box Canon'!O19</f>
        <v>1231.67</v>
      </c>
      <c r="E20" s="21"/>
      <c r="F20" s="21"/>
      <c r="G20" s="151">
        <v>9488.7900000000009</v>
      </c>
      <c r="H20" s="153">
        <v>0</v>
      </c>
      <c r="I20" s="151">
        <f>'Box Canon'!O20+'Box Canon'!O21</f>
        <v>1823.8700000000001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7">
        <f t="shared" si="1"/>
        <v>44756</v>
      </c>
      <c r="B21" s="233" t="str">
        <f t="shared" si="0"/>
        <v>Thu</v>
      </c>
      <c r="C21" s="152">
        <v>1652.1</v>
      </c>
      <c r="D21" s="58">
        <f>'Box Canon'!P18+'Box Canon'!P19</f>
        <v>1522.19</v>
      </c>
      <c r="E21" s="41"/>
      <c r="F21" s="21"/>
      <c r="G21" s="151">
        <v>11729.35</v>
      </c>
      <c r="H21" s="153">
        <v>0</v>
      </c>
      <c r="I21" s="151">
        <f>'Box Canon'!P20+'Box Canon'!P21</f>
        <v>1794.54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7">
        <f t="shared" si="1"/>
        <v>44757</v>
      </c>
      <c r="B22" s="233" t="str">
        <f t="shared" si="0"/>
        <v>Fri</v>
      </c>
      <c r="C22" s="152">
        <v>1610.78</v>
      </c>
      <c r="D22" s="58">
        <f>'Box Canon'!Q18+'Box Canon'!Q19</f>
        <v>1178.1199999999999</v>
      </c>
      <c r="E22" s="21"/>
      <c r="F22" s="21"/>
      <c r="G22" s="151">
        <v>11834.51</v>
      </c>
      <c r="H22" s="153">
        <v>0</v>
      </c>
      <c r="I22" s="151">
        <f>'Box Canon'!Q20+'Box Canon'!Q21</f>
        <v>1798.7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7">
        <f t="shared" si="1"/>
        <v>44758</v>
      </c>
      <c r="B23" s="233" t="str">
        <f t="shared" si="0"/>
        <v>Sat</v>
      </c>
      <c r="C23" s="152">
        <v>2692.41</v>
      </c>
      <c r="D23" s="58">
        <f>'Box Canon'!R18+'Box Canon'!R19</f>
        <v>2020.5900000000001</v>
      </c>
      <c r="E23" s="21"/>
      <c r="F23" s="21"/>
      <c r="G23" s="151">
        <v>14496.31</v>
      </c>
      <c r="H23" s="153">
        <v>0</v>
      </c>
      <c r="I23" s="151">
        <f>'Box Canon'!R20+'Box Canon'!R21</f>
        <v>2142.65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7">
        <f t="shared" si="1"/>
        <v>44759</v>
      </c>
      <c r="B24" s="233" t="str">
        <f t="shared" si="0"/>
        <v>Sun</v>
      </c>
      <c r="C24" s="152">
        <v>1795.2</v>
      </c>
      <c r="D24" s="58">
        <f>'Box Canon'!S18+'Box Canon'!S19</f>
        <v>1352.07</v>
      </c>
      <c r="E24" s="21"/>
      <c r="F24" s="21"/>
      <c r="G24" s="151">
        <v>10871.18</v>
      </c>
      <c r="H24" s="153">
        <v>0</v>
      </c>
      <c r="I24" s="151">
        <f>'Box Canon'!S20+'Box Canon'!S21</f>
        <v>2030.5300000000002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7">
        <f t="shared" si="1"/>
        <v>44760</v>
      </c>
      <c r="B25" s="233" t="str">
        <f t="shared" si="0"/>
        <v>Mon</v>
      </c>
      <c r="C25" s="152">
        <v>1488.25</v>
      </c>
      <c r="D25" s="58">
        <f>'Box Canon'!T18+'Box Canon'!T19</f>
        <v>1463.8</v>
      </c>
      <c r="E25" s="21"/>
      <c r="F25" s="21"/>
      <c r="G25" s="151">
        <v>8852.2800000000007</v>
      </c>
      <c r="H25" s="153">
        <v>0</v>
      </c>
      <c r="I25" s="151">
        <f>'Box Canon'!T20+'Box Canon'!T21</f>
        <v>1781.54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7">
        <f t="shared" si="1"/>
        <v>44761</v>
      </c>
      <c r="B26" s="233" t="str">
        <f t="shared" si="0"/>
        <v>Tue</v>
      </c>
      <c r="C26" s="152">
        <v>2121.5700000000002</v>
      </c>
      <c r="D26" s="58">
        <f>'Box Canon'!U18+'Box Canon'!U19</f>
        <v>1595.12</v>
      </c>
      <c r="E26" s="21"/>
      <c r="F26" s="21"/>
      <c r="G26" s="151">
        <v>11556.07</v>
      </c>
      <c r="H26" s="153">
        <v>0</v>
      </c>
      <c r="I26" s="151">
        <f>'Box Canon'!U20+'Box Canon'!U21</f>
        <v>1844.28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7">
        <f t="shared" si="1"/>
        <v>44762</v>
      </c>
      <c r="B27" s="233" t="str">
        <f t="shared" si="0"/>
        <v>Wed</v>
      </c>
      <c r="C27" s="152">
        <v>2013.22</v>
      </c>
      <c r="D27" s="58">
        <f>'Box Canon'!V18+'Box Canon'!V19</f>
        <v>1387.17</v>
      </c>
      <c r="E27" s="21"/>
      <c r="F27" s="21"/>
      <c r="G27" s="151">
        <v>14004.58</v>
      </c>
      <c r="H27" s="153">
        <v>0</v>
      </c>
      <c r="I27" s="151">
        <f>'Box Canon'!V20+'Box Canon'!V21</f>
        <v>2110.5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7">
        <f t="shared" si="1"/>
        <v>44763</v>
      </c>
      <c r="B28" s="233" t="str">
        <f t="shared" si="0"/>
        <v>Thu</v>
      </c>
      <c r="C28" s="152">
        <v>2072.77</v>
      </c>
      <c r="D28" s="58">
        <f>'Box Canon'!W18+'Box Canon'!W19</f>
        <v>1381.98</v>
      </c>
      <c r="E28" s="21"/>
      <c r="F28" s="21"/>
      <c r="G28" s="151">
        <v>11487.88</v>
      </c>
      <c r="H28" s="153">
        <v>0</v>
      </c>
      <c r="I28" s="151">
        <f>'Box Canon'!W20+'Box Canon'!W21</f>
        <v>1728.7400000000002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7">
        <f t="shared" si="1"/>
        <v>44764</v>
      </c>
      <c r="B29" s="233" t="str">
        <f t="shared" si="0"/>
        <v>Fri</v>
      </c>
      <c r="C29" s="152">
        <v>2264.4299999999998</v>
      </c>
      <c r="D29" s="58">
        <f>'Box Canon'!X18+'Box Canon'!X19</f>
        <v>1362.6100000000001</v>
      </c>
      <c r="E29" s="21"/>
      <c r="F29" s="21"/>
      <c r="G29" s="151">
        <v>12420.25</v>
      </c>
      <c r="H29" s="153">
        <v>0</v>
      </c>
      <c r="I29" s="151">
        <f>'Box Canon'!X20+'Box Canon'!X21</f>
        <v>1825.02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7">
        <f t="shared" si="1"/>
        <v>44765</v>
      </c>
      <c r="B30" s="233" t="str">
        <f t="shared" si="0"/>
        <v>Sat</v>
      </c>
      <c r="C30" s="152">
        <v>2601.83</v>
      </c>
      <c r="D30" s="58">
        <f>'Box Canon'!Y18+'Box Canon'!Y19</f>
        <v>1364.2</v>
      </c>
      <c r="E30" s="21"/>
      <c r="F30" s="21"/>
      <c r="G30" s="151">
        <v>14948.800000000001</v>
      </c>
      <c r="H30" s="153">
        <v>0</v>
      </c>
      <c r="I30" s="151">
        <f>'Box Canon'!Y20+'Box Canon'!Y21</f>
        <v>1743.6299999999999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7">
        <f t="shared" si="1"/>
        <v>44766</v>
      </c>
      <c r="B31" s="233" t="str">
        <f t="shared" si="0"/>
        <v>Sun</v>
      </c>
      <c r="C31" s="152">
        <v>1858.77</v>
      </c>
      <c r="D31" s="58">
        <f>'Box Canon'!Z18+'Box Canon'!Z19</f>
        <v>1055.8799999999999</v>
      </c>
      <c r="E31" s="21"/>
      <c r="F31" s="21"/>
      <c r="G31" s="151">
        <v>9652.4699999999993</v>
      </c>
      <c r="H31" s="153">
        <v>0</v>
      </c>
      <c r="I31" s="151">
        <f>'Box Canon'!Z20+'Box Canon'!Z21</f>
        <v>1933.4699999999998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7">
        <f t="shared" si="1"/>
        <v>44767</v>
      </c>
      <c r="B32" s="233" t="str">
        <f t="shared" si="0"/>
        <v>Mon</v>
      </c>
      <c r="C32" s="152">
        <v>2031.47</v>
      </c>
      <c r="D32" s="58">
        <f>'Box Canon'!AA18+'Box Canon'!AA19</f>
        <v>1256.03</v>
      </c>
      <c r="E32" s="21"/>
      <c r="F32" s="21"/>
      <c r="G32" s="151">
        <v>11231.92</v>
      </c>
      <c r="H32" s="153">
        <v>0</v>
      </c>
      <c r="I32" s="151">
        <f>'Box Canon'!AA20+'Box Canon'!AA21</f>
        <v>1515.24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7">
        <f t="shared" si="1"/>
        <v>44768</v>
      </c>
      <c r="B33" s="233" t="str">
        <f t="shared" si="0"/>
        <v>Tue</v>
      </c>
      <c r="C33" s="152">
        <v>2244.36</v>
      </c>
      <c r="D33" s="58">
        <f>'Box Canon'!AB18+'Box Canon'!AB19</f>
        <v>1275.51</v>
      </c>
      <c r="E33" s="21"/>
      <c r="F33" s="21"/>
      <c r="G33" s="151">
        <v>9754.7400000000016</v>
      </c>
      <c r="H33" s="153">
        <v>0</v>
      </c>
      <c r="I33" s="151">
        <f>'Box Canon'!AB20+'Box Canon'!AB21</f>
        <v>1544.97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7">
        <f t="shared" si="1"/>
        <v>44769</v>
      </c>
      <c r="B34" s="233" t="str">
        <f t="shared" si="0"/>
        <v>Wed</v>
      </c>
      <c r="C34" s="152">
        <v>2319.89</v>
      </c>
      <c r="D34" s="58">
        <f>'Box Canon'!AC18+'Box Canon'!AC19</f>
        <v>1017.5</v>
      </c>
      <c r="E34" s="21"/>
      <c r="F34" s="21"/>
      <c r="G34" s="151">
        <v>8810.32</v>
      </c>
      <c r="H34" s="153">
        <v>0</v>
      </c>
      <c r="I34" s="151">
        <f>'Box Canon'!AC20+'Box Canon'!AC21</f>
        <v>1645.81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7">
        <f t="shared" si="1"/>
        <v>44770</v>
      </c>
      <c r="B35" s="233" t="str">
        <f t="shared" si="0"/>
        <v>Thu</v>
      </c>
      <c r="C35" s="152">
        <v>1740.07</v>
      </c>
      <c r="D35" s="58">
        <f>'Box Canon'!AD18+'Box Canon'!AD19</f>
        <v>1159.5899999999999</v>
      </c>
      <c r="E35" s="21"/>
      <c r="F35" s="21"/>
      <c r="G35" s="151">
        <v>7966.6100000000006</v>
      </c>
      <c r="H35" s="153">
        <v>0</v>
      </c>
      <c r="I35" s="151">
        <f>'Box Canon'!AD20+'Box Canon'!AD21</f>
        <v>1263.5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7">
        <f t="shared" si="1"/>
        <v>44771</v>
      </c>
      <c r="B36" s="233" t="str">
        <f t="shared" si="0"/>
        <v>Fri</v>
      </c>
      <c r="C36" s="152">
        <v>2287.0700000000002</v>
      </c>
      <c r="D36" s="58">
        <f>'Box Canon'!AE18+'Box Canon'!AE19</f>
        <v>2190.39</v>
      </c>
      <c r="E36" s="42"/>
      <c r="F36" s="21"/>
      <c r="G36" s="151">
        <v>12801.15</v>
      </c>
      <c r="H36" s="153">
        <v>0</v>
      </c>
      <c r="I36" s="151">
        <f>'Box Canon'!AE20+'Box Canon'!AE21</f>
        <v>1467.01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7">
        <f t="shared" si="1"/>
        <v>44772</v>
      </c>
      <c r="B37" s="233" t="str">
        <f t="shared" si="0"/>
        <v>Sat</v>
      </c>
      <c r="C37" s="152">
        <v>2571.75</v>
      </c>
      <c r="D37" s="58">
        <f>'Box Canon'!AF18+'Box Canon'!AF19</f>
        <v>1533.83</v>
      </c>
      <c r="E37" s="21"/>
      <c r="F37" s="21"/>
      <c r="G37" s="151">
        <v>13436.609999999999</v>
      </c>
      <c r="H37" s="153">
        <v>0</v>
      </c>
      <c r="I37" s="151">
        <f>'Box Canon'!AF20+'Box Canon'!AF21</f>
        <v>1597.6599999999999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7">
        <f t="shared" si="1"/>
        <v>44773</v>
      </c>
      <c r="B38" s="233" t="str">
        <f t="shared" si="0"/>
        <v>Sun</v>
      </c>
      <c r="C38" s="152">
        <v>2691.41</v>
      </c>
      <c r="D38" s="58">
        <f>'Box Canon'!AG18+'Box Canon'!AG19</f>
        <v>1354.96</v>
      </c>
      <c r="E38" s="21"/>
      <c r="F38" s="21"/>
      <c r="G38" s="151">
        <v>12206.36</v>
      </c>
      <c r="H38" s="153">
        <v>0</v>
      </c>
      <c r="I38" s="151">
        <f>'Box Canon'!AG20+'Box Canon'!AG21</f>
        <v>1807.6299999999999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4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5"/>
      <c r="C40" s="171">
        <f>SUM(C8:C39)</f>
        <v>68285.649999999994</v>
      </c>
      <c r="D40" s="171">
        <f t="shared" ref="D40:M40" si="2">SUM(D8:D39)</f>
        <v>43065.239999999991</v>
      </c>
      <c r="E40" s="172">
        <f t="shared" si="2"/>
        <v>0</v>
      </c>
      <c r="F40" s="172">
        <f t="shared" si="2"/>
        <v>0</v>
      </c>
      <c r="G40" s="171">
        <f>SUM(G8:G38)</f>
        <v>384096.33999999991</v>
      </c>
      <c r="H40" s="171">
        <f>SUM(H8:H38)</f>
        <v>0</v>
      </c>
      <c r="I40" s="171">
        <f>SUM(I8:I38)</f>
        <v>57617.669999999991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553064.89999999991</v>
      </c>
      <c r="U40" s="18"/>
      <c r="V40" s="18"/>
    </row>
    <row r="41" spans="1:22" ht="13.5" thickTop="1" x14ac:dyDescent="0.2">
      <c r="B41" s="235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5"/>
      <c r="M42" s="177">
        <f>C40+D40+J40+K40+M40</f>
        <v>111350.88999999998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5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5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5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5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5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5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5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5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5"/>
      <c r="C51" s="55"/>
      <c r="N51" s="23"/>
      <c r="O51" s="18"/>
      <c r="P51" s="18"/>
      <c r="Q51" s="18"/>
      <c r="U51" s="18"/>
      <c r="V51" s="18"/>
    </row>
    <row r="52" spans="1:22" x14ac:dyDescent="0.2">
      <c r="B52" s="235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5"/>
      <c r="C53" s="55"/>
      <c r="N53" s="23"/>
      <c r="O53" s="18"/>
      <c r="P53" s="18"/>
      <c r="Q53" s="18"/>
      <c r="U53" s="18"/>
      <c r="V53" s="18"/>
    </row>
    <row r="54" spans="1:22" x14ac:dyDescent="0.2">
      <c r="B54" s="235"/>
      <c r="C54" s="55"/>
      <c r="N54" s="23"/>
      <c r="O54" s="18"/>
      <c r="P54" s="18"/>
      <c r="Q54" s="18"/>
      <c r="U54" s="18"/>
      <c r="V54" s="18"/>
    </row>
    <row r="55" spans="1:22" x14ac:dyDescent="0.2">
      <c r="B55" s="235"/>
      <c r="N55" s="23"/>
      <c r="O55" s="18"/>
      <c r="P55" s="18"/>
      <c r="Q55" s="18"/>
      <c r="U55" s="18"/>
      <c r="V55" s="18"/>
    </row>
    <row r="56" spans="1:22" x14ac:dyDescent="0.2">
      <c r="B56" s="235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5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5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5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5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5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5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5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5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5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5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5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5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5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5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5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5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5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5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5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5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5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5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5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5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5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5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5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5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5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5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5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5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5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5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5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5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5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5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5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5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5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5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5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5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5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0"/>
  <sheetViews>
    <sheetView workbookViewId="0">
      <pane xSplit="2" ySplit="2" topLeftCell="X17" activePane="bottomRight" state="frozen"/>
      <selection pane="topRight" activeCell="C1" sqref="C1"/>
      <selection pane="bottomLeft" activeCell="A3" sqref="A3"/>
      <selection pane="bottomRight" activeCell="AN51" sqref="AN51"/>
    </sheetView>
  </sheetViews>
  <sheetFormatPr defaultColWidth="9.140625" defaultRowHeight="15.75" x14ac:dyDescent="0.25"/>
  <cols>
    <col min="1" max="1" width="10.42578125" style="59" bestFit="1" customWidth="1"/>
    <col min="2" max="2" width="33.85546875" style="60" bestFit="1" customWidth="1"/>
    <col min="3" max="5" width="10" style="60" customWidth="1"/>
    <col min="6" max="6" width="10.5703125" style="60" bestFit="1" customWidth="1"/>
    <col min="7" max="9" width="10" style="60" customWidth="1"/>
    <col min="10" max="10" width="10" style="60" bestFit="1" customWidth="1"/>
    <col min="11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70" t="s">
        <v>123</v>
      </c>
      <c r="B1" s="379" t="str">
        <f>'Cash Flow'!C1</f>
        <v>July</v>
      </c>
      <c r="C1" s="229" t="str">
        <f t="array" ref="C1:AG1">TRANSPOSE('Cash Flow'!B8:B38)</f>
        <v>Fri</v>
      </c>
      <c r="D1" s="229" t="str">
        <v>Sat</v>
      </c>
      <c r="E1" s="229" t="str">
        <v>Sun</v>
      </c>
      <c r="F1" s="229" t="str">
        <v>Mon</v>
      </c>
      <c r="G1" s="229" t="str">
        <v>Tue</v>
      </c>
      <c r="H1" s="229" t="str">
        <v>Wed</v>
      </c>
      <c r="I1" s="229" t="str">
        <v>Thu</v>
      </c>
      <c r="J1" s="229" t="str">
        <v>Fri</v>
      </c>
      <c r="K1" s="229" t="str">
        <v>Sat</v>
      </c>
      <c r="L1" s="229" t="str">
        <v>Sun</v>
      </c>
      <c r="M1" s="229" t="str">
        <v>Mon</v>
      </c>
      <c r="N1" s="229" t="str">
        <v>Tue</v>
      </c>
      <c r="O1" s="229" t="str">
        <v>Wed</v>
      </c>
      <c r="P1" s="229" t="str">
        <v>Thu</v>
      </c>
      <c r="Q1" s="229" t="str">
        <v>Fri</v>
      </c>
      <c r="R1" s="229" t="str">
        <v>Sat</v>
      </c>
      <c r="S1" s="229" t="str">
        <v>Sun</v>
      </c>
      <c r="T1" s="229" t="str">
        <v>Mon</v>
      </c>
      <c r="U1" s="229" t="str">
        <v>Tue</v>
      </c>
      <c r="V1" s="229" t="str">
        <v>Wed</v>
      </c>
      <c r="W1" s="229" t="str">
        <v>Thu</v>
      </c>
      <c r="X1" s="229" t="str">
        <v>Fri</v>
      </c>
      <c r="Y1" s="229" t="str">
        <v>Sat</v>
      </c>
      <c r="Z1" s="229" t="str">
        <v>Sun</v>
      </c>
      <c r="AA1" s="229" t="str">
        <v>Mon</v>
      </c>
      <c r="AB1" s="229" t="str">
        <v>Tue</v>
      </c>
      <c r="AC1" s="229" t="str">
        <v>Wed</v>
      </c>
      <c r="AD1" s="229" t="str">
        <v>Thu</v>
      </c>
      <c r="AE1" s="229" t="str">
        <v>Fri</v>
      </c>
      <c r="AF1" s="229" t="str">
        <v>Sat</v>
      </c>
      <c r="AG1" s="229" t="str">
        <v>Sun</v>
      </c>
    </row>
    <row r="2" spans="1:39" s="60" customFormat="1" ht="16.5" thickBot="1" x14ac:dyDescent="0.3">
      <c r="A2" s="63" t="s">
        <v>67</v>
      </c>
      <c r="B2" s="64" t="s">
        <v>132</v>
      </c>
      <c r="C2" s="106">
        <f>'Cash Flow'!A8</f>
        <v>44743</v>
      </c>
      <c r="D2" s="106">
        <f>C2+1</f>
        <v>44744</v>
      </c>
      <c r="E2" s="106">
        <f>D2+1</f>
        <v>44745</v>
      </c>
      <c r="F2" s="106">
        <f t="shared" ref="F2:AG2" si="0">E2+1</f>
        <v>44746</v>
      </c>
      <c r="G2" s="106">
        <f t="shared" si="0"/>
        <v>44747</v>
      </c>
      <c r="H2" s="106">
        <f t="shared" si="0"/>
        <v>44748</v>
      </c>
      <c r="I2" s="106">
        <f t="shared" si="0"/>
        <v>44749</v>
      </c>
      <c r="J2" s="106">
        <f t="shared" si="0"/>
        <v>44750</v>
      </c>
      <c r="K2" s="106">
        <f t="shared" si="0"/>
        <v>44751</v>
      </c>
      <c r="L2" s="106">
        <f t="shared" si="0"/>
        <v>44752</v>
      </c>
      <c r="M2" s="106">
        <f t="shared" si="0"/>
        <v>44753</v>
      </c>
      <c r="N2" s="106">
        <f t="shared" si="0"/>
        <v>44754</v>
      </c>
      <c r="O2" s="106">
        <f t="shared" si="0"/>
        <v>44755</v>
      </c>
      <c r="P2" s="106">
        <f t="shared" si="0"/>
        <v>44756</v>
      </c>
      <c r="Q2" s="106">
        <f t="shared" si="0"/>
        <v>44757</v>
      </c>
      <c r="R2" s="106">
        <f t="shared" si="0"/>
        <v>44758</v>
      </c>
      <c r="S2" s="106">
        <f t="shared" si="0"/>
        <v>44759</v>
      </c>
      <c r="T2" s="106">
        <f t="shared" si="0"/>
        <v>44760</v>
      </c>
      <c r="U2" s="106">
        <f t="shared" si="0"/>
        <v>44761</v>
      </c>
      <c r="V2" s="106">
        <f t="shared" si="0"/>
        <v>44762</v>
      </c>
      <c r="W2" s="106">
        <f t="shared" si="0"/>
        <v>44763</v>
      </c>
      <c r="X2" s="106">
        <f t="shared" si="0"/>
        <v>44764</v>
      </c>
      <c r="Y2" s="106">
        <f t="shared" si="0"/>
        <v>44765</v>
      </c>
      <c r="Z2" s="106">
        <f t="shared" si="0"/>
        <v>44766</v>
      </c>
      <c r="AA2" s="106">
        <f t="shared" si="0"/>
        <v>44767</v>
      </c>
      <c r="AB2" s="106">
        <f t="shared" si="0"/>
        <v>44768</v>
      </c>
      <c r="AC2" s="106">
        <f t="shared" si="0"/>
        <v>44769</v>
      </c>
      <c r="AD2" s="106">
        <f t="shared" si="0"/>
        <v>44770</v>
      </c>
      <c r="AE2" s="106">
        <f t="shared" si="0"/>
        <v>44771</v>
      </c>
      <c r="AF2" s="106">
        <f t="shared" si="0"/>
        <v>44772</v>
      </c>
      <c r="AG2" s="106">
        <f t="shared" si="0"/>
        <v>44773</v>
      </c>
      <c r="AH2" s="65" t="s">
        <v>59</v>
      </c>
      <c r="AI2" s="62"/>
      <c r="AJ2" s="63" t="s">
        <v>67</v>
      </c>
      <c r="AK2" s="64" t="s">
        <v>132</v>
      </c>
    </row>
    <row r="3" spans="1:39" x14ac:dyDescent="0.25">
      <c r="A3" s="66" t="s">
        <v>61</v>
      </c>
      <c r="B3" s="67" t="s">
        <v>62</v>
      </c>
      <c r="C3" s="68">
        <v>95.64</v>
      </c>
      <c r="D3" s="185">
        <v>122.64</v>
      </c>
      <c r="E3" s="185">
        <v>94.72</v>
      </c>
      <c r="F3" s="185">
        <v>125.04</v>
      </c>
      <c r="G3" s="185">
        <v>45.13</v>
      </c>
      <c r="H3" s="185">
        <v>55.7</v>
      </c>
      <c r="I3" s="185">
        <v>128.16999999999999</v>
      </c>
      <c r="J3" s="185">
        <v>124.31</v>
      </c>
      <c r="K3" s="185">
        <v>120.04</v>
      </c>
      <c r="L3" s="185">
        <v>62.59</v>
      </c>
      <c r="M3" s="185">
        <v>69.41</v>
      </c>
      <c r="N3" s="185">
        <v>52.92</v>
      </c>
      <c r="O3" s="185">
        <v>56.02</v>
      </c>
      <c r="P3" s="185">
        <v>50.56</v>
      </c>
      <c r="Q3" s="185">
        <v>75.430000000000007</v>
      </c>
      <c r="R3" s="185">
        <v>91.09</v>
      </c>
      <c r="S3" s="185">
        <v>65.97</v>
      </c>
      <c r="T3" s="185">
        <v>51.51</v>
      </c>
      <c r="U3" s="185">
        <v>65.92</v>
      </c>
      <c r="V3" s="185">
        <v>88.74</v>
      </c>
      <c r="W3" s="185">
        <v>91.5</v>
      </c>
      <c r="X3" s="185">
        <v>86.64</v>
      </c>
      <c r="Y3" s="185">
        <v>104.73</v>
      </c>
      <c r="Z3" s="185">
        <v>71.760000000000005</v>
      </c>
      <c r="AA3" s="185">
        <v>79.709999999999994</v>
      </c>
      <c r="AB3" s="185">
        <v>65.38</v>
      </c>
      <c r="AC3" s="185">
        <v>76.69</v>
      </c>
      <c r="AD3" s="185">
        <v>33.950000000000003</v>
      </c>
      <c r="AE3" s="185">
        <v>78.39</v>
      </c>
      <c r="AF3" s="185">
        <v>105.88</v>
      </c>
      <c r="AG3" s="185">
        <v>82.77</v>
      </c>
      <c r="AH3" s="108">
        <f>SUM(C3:AG3)</f>
        <v>2518.9499999999998</v>
      </c>
      <c r="AJ3" s="66" t="s">
        <v>61</v>
      </c>
      <c r="AK3" s="67" t="s">
        <v>62</v>
      </c>
      <c r="AL3" s="211"/>
      <c r="AM3" s="211"/>
    </row>
    <row r="4" spans="1:39" x14ac:dyDescent="0.25">
      <c r="A4" s="69" t="s">
        <v>30</v>
      </c>
      <c r="B4" s="70" t="s">
        <v>31</v>
      </c>
      <c r="C4" s="71">
        <v>9401.4</v>
      </c>
      <c r="D4" s="72">
        <v>15177.6</v>
      </c>
      <c r="E4" s="71">
        <v>16837.8</v>
      </c>
      <c r="F4" s="71">
        <v>13340</v>
      </c>
      <c r="G4" s="71">
        <v>6644</v>
      </c>
      <c r="H4" s="71">
        <v>8356</v>
      </c>
      <c r="I4" s="71">
        <v>13299.4</v>
      </c>
      <c r="J4" s="71">
        <v>13925.4</v>
      </c>
      <c r="K4" s="71">
        <v>13945</v>
      </c>
      <c r="L4" s="71">
        <v>6294.4</v>
      </c>
      <c r="M4" s="71">
        <v>9572.4</v>
      </c>
      <c r="N4" s="71">
        <v>8108.8</v>
      </c>
      <c r="O4" s="71">
        <v>8832.2000000000007</v>
      </c>
      <c r="P4" s="71">
        <v>8596</v>
      </c>
      <c r="Q4" s="71">
        <v>9812.2000000000007</v>
      </c>
      <c r="R4" s="71">
        <v>13485.8</v>
      </c>
      <c r="S4" s="71">
        <v>9207.4</v>
      </c>
      <c r="T4" s="71">
        <v>7657.8</v>
      </c>
      <c r="U4" s="71">
        <v>9923.6</v>
      </c>
      <c r="V4" s="71">
        <v>11935.6</v>
      </c>
      <c r="W4" s="71">
        <v>9861.7999999999993</v>
      </c>
      <c r="X4" s="71">
        <v>9754.4</v>
      </c>
      <c r="Y4" s="71">
        <v>13863</v>
      </c>
      <c r="Z4" s="71">
        <v>8555.4</v>
      </c>
      <c r="AA4" s="71">
        <v>9115.4</v>
      </c>
      <c r="AB4" s="71">
        <v>8358.6</v>
      </c>
      <c r="AC4" s="71">
        <v>8365.4</v>
      </c>
      <c r="AD4" s="71">
        <v>7373.6</v>
      </c>
      <c r="AE4" s="71">
        <v>11254</v>
      </c>
      <c r="AF4" s="71">
        <v>12374.8</v>
      </c>
      <c r="AG4" s="71">
        <v>10983.8</v>
      </c>
      <c r="AH4" s="108">
        <f t="shared" ref="AH4:AH28" si="1">SUM(C4:AG4)</f>
        <v>324212.99999999994</v>
      </c>
      <c r="AJ4" s="69" t="s">
        <v>30</v>
      </c>
      <c r="AK4" s="70" t="s">
        <v>31</v>
      </c>
      <c r="AL4" s="211"/>
      <c r="AM4" s="211"/>
    </row>
    <row r="5" spans="1:39" hidden="1" x14ac:dyDescent="0.25">
      <c r="A5" s="69"/>
      <c r="B5" s="380" t="s">
        <v>175</v>
      </c>
      <c r="C5" s="71"/>
      <c r="D5" s="72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108">
        <f>SUM(C5:AG5)</f>
        <v>0</v>
      </c>
      <c r="AJ5" s="69"/>
      <c r="AK5" s="70"/>
      <c r="AL5" s="211"/>
      <c r="AM5" s="211"/>
    </row>
    <row r="6" spans="1:39" x14ac:dyDescent="0.25">
      <c r="A6" s="69" t="s">
        <v>178</v>
      </c>
      <c r="B6" s="70" t="s">
        <v>202</v>
      </c>
      <c r="C6" s="71">
        <v>348</v>
      </c>
      <c r="D6" s="72">
        <v>502.2</v>
      </c>
      <c r="E6" s="72">
        <v>756.6</v>
      </c>
      <c r="F6" s="72">
        <v>799.2</v>
      </c>
      <c r="G6" s="72">
        <v>180</v>
      </c>
      <c r="H6" s="72">
        <v>352.8</v>
      </c>
      <c r="I6" s="72">
        <v>591.6</v>
      </c>
      <c r="J6" s="72">
        <v>834.6</v>
      </c>
      <c r="K6" s="72">
        <v>854.4</v>
      </c>
      <c r="L6" s="72">
        <v>262.2</v>
      </c>
      <c r="M6" s="72">
        <v>534</v>
      </c>
      <c r="N6" s="72">
        <v>589.20000000000005</v>
      </c>
      <c r="O6" s="72">
        <v>550.79999999999995</v>
      </c>
      <c r="P6" s="72">
        <v>381.6</v>
      </c>
      <c r="Q6" s="72">
        <v>504</v>
      </c>
      <c r="R6" s="72">
        <v>612.6</v>
      </c>
      <c r="S6" s="72">
        <v>333.6</v>
      </c>
      <c r="T6" s="72">
        <v>366</v>
      </c>
      <c r="U6" s="72">
        <v>518.4</v>
      </c>
      <c r="V6" s="72">
        <v>651</v>
      </c>
      <c r="W6" s="72">
        <v>529.79999999999995</v>
      </c>
      <c r="X6" s="72">
        <v>560.4</v>
      </c>
      <c r="Y6" s="72">
        <v>592.79999999999995</v>
      </c>
      <c r="Z6" s="72">
        <v>303</v>
      </c>
      <c r="AA6" s="72">
        <v>409.8</v>
      </c>
      <c r="AB6" s="72">
        <v>401.4</v>
      </c>
      <c r="AC6" s="72">
        <v>379.2</v>
      </c>
      <c r="AD6" s="72">
        <v>343.2</v>
      </c>
      <c r="AE6" s="72">
        <v>580.79999999999995</v>
      </c>
      <c r="AF6" s="72">
        <v>586.20000000000005</v>
      </c>
      <c r="AG6" s="72">
        <v>417.6</v>
      </c>
      <c r="AH6" s="108">
        <f t="shared" si="1"/>
        <v>15626.999999999998</v>
      </c>
      <c r="AJ6" s="69" t="s">
        <v>178</v>
      </c>
      <c r="AK6" s="70" t="s">
        <v>63</v>
      </c>
      <c r="AM6" s="211"/>
    </row>
    <row r="7" spans="1:39" x14ac:dyDescent="0.25">
      <c r="A7" s="371" t="s">
        <v>154</v>
      </c>
      <c r="B7" s="372" t="s">
        <v>155</v>
      </c>
      <c r="C7" s="373">
        <v>345.6</v>
      </c>
      <c r="D7" s="374"/>
      <c r="E7" s="374"/>
      <c r="F7" s="374"/>
      <c r="G7" s="374"/>
      <c r="H7" s="374">
        <v>162</v>
      </c>
      <c r="I7" s="374"/>
      <c r="J7" s="374"/>
      <c r="K7" s="374"/>
      <c r="L7" s="374"/>
      <c r="M7" s="374"/>
      <c r="N7" s="374"/>
      <c r="O7" s="374"/>
      <c r="P7" s="374"/>
      <c r="Q7" s="374"/>
      <c r="R7" s="374"/>
      <c r="S7" s="374"/>
      <c r="T7" s="374"/>
      <c r="U7" s="374"/>
      <c r="V7" s="374"/>
      <c r="W7" s="374"/>
      <c r="X7" s="374"/>
      <c r="Y7" s="374"/>
      <c r="Z7" s="374"/>
      <c r="AA7" s="374"/>
      <c r="AB7" s="374"/>
      <c r="AC7" s="374"/>
      <c r="AD7" s="374"/>
      <c r="AE7" s="374"/>
      <c r="AF7" s="374"/>
      <c r="AG7" s="374"/>
      <c r="AH7" s="375">
        <f>SUM(C7:AG7)</f>
        <v>507.6</v>
      </c>
      <c r="AI7" s="376"/>
      <c r="AJ7" s="371" t="s">
        <v>154</v>
      </c>
      <c r="AK7" s="372" t="s">
        <v>155</v>
      </c>
      <c r="AM7" s="211"/>
    </row>
    <row r="8" spans="1:39" x14ac:dyDescent="0.25">
      <c r="A8" s="371" t="s">
        <v>156</v>
      </c>
      <c r="B8" s="372" t="s">
        <v>197</v>
      </c>
      <c r="C8" s="373">
        <f>787.5+3416</f>
        <v>4203.5</v>
      </c>
      <c r="D8" s="374">
        <f>865+3864</f>
        <v>4729</v>
      </c>
      <c r="E8" s="374">
        <f>110+4000</f>
        <v>4110</v>
      </c>
      <c r="F8" s="374">
        <v>1768</v>
      </c>
      <c r="G8" s="374">
        <f>292.5+2024</f>
        <v>2316.5</v>
      </c>
      <c r="H8" s="374">
        <f>565+1904</f>
        <v>2469</v>
      </c>
      <c r="I8" s="374">
        <f>190+3160</f>
        <v>3350</v>
      </c>
      <c r="J8" s="374">
        <f>1945+1424</f>
        <v>3369</v>
      </c>
      <c r="K8" s="374">
        <v>1784</v>
      </c>
      <c r="L8" s="374">
        <f>165+1304</f>
        <v>1469</v>
      </c>
      <c r="M8" s="374">
        <f>417.5+1888</f>
        <v>2305.5</v>
      </c>
      <c r="N8" s="374">
        <f>795+2592</f>
        <v>3387</v>
      </c>
      <c r="O8" s="374">
        <f>251+1664</f>
        <v>1915</v>
      </c>
      <c r="P8" s="374">
        <f>1595+2112</f>
        <v>3707</v>
      </c>
      <c r="Q8" s="374">
        <f>320+1872</f>
        <v>2192</v>
      </c>
      <c r="R8" s="374">
        <f>270+1632</f>
        <v>1902</v>
      </c>
      <c r="S8" s="374">
        <f>215+2128</f>
        <v>2343</v>
      </c>
      <c r="T8" s="374">
        <v>1392</v>
      </c>
      <c r="U8" s="374">
        <f>150+1768</f>
        <v>1918</v>
      </c>
      <c r="V8" s="374">
        <f>300+1680</f>
        <v>1980</v>
      </c>
      <c r="W8" s="374">
        <f>215+1632</f>
        <v>1847</v>
      </c>
      <c r="X8" s="374">
        <f>542.5+2456</f>
        <v>2998.5</v>
      </c>
      <c r="Y8" s="374">
        <v>1872</v>
      </c>
      <c r="Z8" s="374">
        <f>305+1424</f>
        <v>1729</v>
      </c>
      <c r="AA8" s="374">
        <f>484+2352</f>
        <v>2836</v>
      </c>
      <c r="AB8" s="374">
        <f>840+1200</f>
        <v>2040</v>
      </c>
      <c r="AC8" s="374">
        <f>475+960</f>
        <v>1435</v>
      </c>
      <c r="AD8" s="374">
        <f>470+944</f>
        <v>1414</v>
      </c>
      <c r="AE8" s="374">
        <f>760+1424</f>
        <v>2184</v>
      </c>
      <c r="AF8" s="374">
        <f>52.5+1720</f>
        <v>1772.5</v>
      </c>
      <c r="AG8" s="374">
        <f>365+2144</f>
        <v>2509</v>
      </c>
      <c r="AH8" s="375">
        <f>SUM(C8:AG8)</f>
        <v>75246.5</v>
      </c>
      <c r="AI8" s="376"/>
      <c r="AJ8" s="371" t="s">
        <v>156</v>
      </c>
      <c r="AK8" s="372" t="s">
        <v>197</v>
      </c>
      <c r="AM8" s="211"/>
    </row>
    <row r="9" spans="1:39" x14ac:dyDescent="0.25">
      <c r="A9" s="371" t="s">
        <v>161</v>
      </c>
      <c r="B9" s="372" t="s">
        <v>162</v>
      </c>
      <c r="C9" s="373"/>
      <c r="D9" s="374"/>
      <c r="E9" s="374"/>
      <c r="F9" s="374"/>
      <c r="G9" s="374"/>
      <c r="H9" s="374"/>
      <c r="I9" s="374"/>
      <c r="J9" s="374"/>
      <c r="K9" s="374"/>
      <c r="L9" s="374"/>
      <c r="M9" s="374"/>
      <c r="N9" s="374"/>
      <c r="O9" s="374"/>
      <c r="P9" s="374"/>
      <c r="Q9" s="374"/>
      <c r="R9" s="374"/>
      <c r="S9" s="374"/>
      <c r="T9" s="374"/>
      <c r="U9" s="374"/>
      <c r="V9" s="374"/>
      <c r="W9" s="374"/>
      <c r="X9" s="374"/>
      <c r="Y9" s="374"/>
      <c r="Z9" s="374"/>
      <c r="AA9" s="374"/>
      <c r="AB9" s="374"/>
      <c r="AC9" s="374"/>
      <c r="AD9" s="374"/>
      <c r="AE9" s="374"/>
      <c r="AF9" s="374"/>
      <c r="AG9" s="374"/>
      <c r="AH9" s="375">
        <f t="shared" ref="AH9:AH13" si="2">SUM(C9:AG9)</f>
        <v>0</v>
      </c>
      <c r="AI9" s="376"/>
      <c r="AJ9" s="371" t="s">
        <v>161</v>
      </c>
      <c r="AK9" s="372" t="s">
        <v>162</v>
      </c>
      <c r="AM9" s="211"/>
    </row>
    <row r="10" spans="1:39" x14ac:dyDescent="0.25">
      <c r="A10" s="371" t="s">
        <v>163</v>
      </c>
      <c r="B10" s="372" t="s">
        <v>164</v>
      </c>
      <c r="C10" s="373"/>
      <c r="D10" s="374"/>
      <c r="E10" s="374"/>
      <c r="F10" s="374"/>
      <c r="G10" s="374"/>
      <c r="H10" s="374"/>
      <c r="I10" s="374"/>
      <c r="J10" s="374"/>
      <c r="K10" s="374"/>
      <c r="L10" s="374"/>
      <c r="M10" s="374"/>
      <c r="N10" s="374"/>
      <c r="O10" s="374"/>
      <c r="P10" s="374"/>
      <c r="Q10" s="374">
        <v>2</v>
      </c>
      <c r="R10" s="374"/>
      <c r="S10" s="374"/>
      <c r="T10" s="374"/>
      <c r="U10" s="374"/>
      <c r="V10" s="374"/>
      <c r="W10" s="374"/>
      <c r="X10" s="374"/>
      <c r="Y10" s="374"/>
      <c r="Z10" s="374"/>
      <c r="AA10" s="374"/>
      <c r="AB10" s="374"/>
      <c r="AC10" s="374"/>
      <c r="AD10" s="374"/>
      <c r="AE10" s="374"/>
      <c r="AF10" s="374"/>
      <c r="AG10" s="374"/>
      <c r="AH10" s="375">
        <f t="shared" si="2"/>
        <v>2</v>
      </c>
      <c r="AI10" s="376"/>
      <c r="AJ10" s="371" t="s">
        <v>163</v>
      </c>
      <c r="AK10" s="372" t="s">
        <v>164</v>
      </c>
      <c r="AM10" s="211"/>
    </row>
    <row r="11" spans="1:39" x14ac:dyDescent="0.25">
      <c r="A11" s="371" t="s">
        <v>157</v>
      </c>
      <c r="B11" s="372" t="s">
        <v>158</v>
      </c>
      <c r="C11" s="373"/>
      <c r="D11" s="374"/>
      <c r="E11" s="374"/>
      <c r="F11" s="374"/>
      <c r="G11" s="374"/>
      <c r="H11" s="374"/>
      <c r="I11" s="374"/>
      <c r="J11" s="374"/>
      <c r="K11" s="374"/>
      <c r="L11" s="374"/>
      <c r="M11" s="374"/>
      <c r="N11" s="374"/>
      <c r="O11" s="374"/>
      <c r="P11" s="374"/>
      <c r="Q11" s="374"/>
      <c r="R11" s="374"/>
      <c r="S11" s="374"/>
      <c r="T11" s="374"/>
      <c r="U11" s="374"/>
      <c r="V11" s="374"/>
      <c r="W11" s="374"/>
      <c r="X11" s="374"/>
      <c r="Y11" s="374"/>
      <c r="Z11" s="374"/>
      <c r="AA11" s="374"/>
      <c r="AB11" s="374"/>
      <c r="AC11" s="374"/>
      <c r="AD11" s="374"/>
      <c r="AE11" s="374"/>
      <c r="AF11" s="374"/>
      <c r="AG11" s="374"/>
      <c r="AH11" s="375">
        <f t="shared" si="2"/>
        <v>0</v>
      </c>
      <c r="AI11" s="376"/>
      <c r="AJ11" s="371" t="s">
        <v>157</v>
      </c>
      <c r="AK11" s="372" t="s">
        <v>158</v>
      </c>
      <c r="AM11" s="211"/>
    </row>
    <row r="12" spans="1:39" x14ac:dyDescent="0.25">
      <c r="A12" s="371" t="s">
        <v>167</v>
      </c>
      <c r="B12" s="372" t="s">
        <v>168</v>
      </c>
      <c r="C12" s="373"/>
      <c r="D12" s="374"/>
      <c r="E12" s="374"/>
      <c r="F12" s="374"/>
      <c r="G12" s="374"/>
      <c r="H12" s="374"/>
      <c r="I12" s="374"/>
      <c r="J12" s="374"/>
      <c r="K12" s="374"/>
      <c r="L12" s="374"/>
      <c r="M12" s="374"/>
      <c r="N12" s="374"/>
      <c r="O12" s="374"/>
      <c r="P12" s="374"/>
      <c r="Q12" s="374"/>
      <c r="R12" s="374"/>
      <c r="S12" s="374"/>
      <c r="T12" s="374"/>
      <c r="U12" s="374"/>
      <c r="V12" s="374"/>
      <c r="W12" s="374"/>
      <c r="X12" s="374"/>
      <c r="Y12" s="374"/>
      <c r="Z12" s="374"/>
      <c r="AA12" s="374"/>
      <c r="AB12" s="374"/>
      <c r="AC12" s="374"/>
      <c r="AD12" s="374"/>
      <c r="AE12" s="374"/>
      <c r="AF12" s="374"/>
      <c r="AG12" s="374"/>
      <c r="AH12" s="375">
        <f t="shared" si="2"/>
        <v>0</v>
      </c>
      <c r="AI12" s="376"/>
      <c r="AJ12" s="371" t="s">
        <v>167</v>
      </c>
      <c r="AK12" s="372" t="s">
        <v>168</v>
      </c>
      <c r="AM12" s="211"/>
    </row>
    <row r="13" spans="1:39" x14ac:dyDescent="0.25">
      <c r="A13" s="371" t="s">
        <v>169</v>
      </c>
      <c r="B13" s="372" t="s">
        <v>170</v>
      </c>
      <c r="C13" s="373"/>
      <c r="D13" s="374"/>
      <c r="E13" s="374"/>
      <c r="F13" s="374"/>
      <c r="G13" s="374"/>
      <c r="H13" s="374"/>
      <c r="I13" s="374"/>
      <c r="J13" s="374"/>
      <c r="K13" s="374"/>
      <c r="L13" s="374"/>
      <c r="M13" s="374"/>
      <c r="N13" s="374"/>
      <c r="O13" s="374"/>
      <c r="P13" s="374"/>
      <c r="Q13" s="374"/>
      <c r="R13" s="374"/>
      <c r="S13" s="374"/>
      <c r="T13" s="374"/>
      <c r="U13" s="374"/>
      <c r="V13" s="374"/>
      <c r="W13" s="374"/>
      <c r="X13" s="374"/>
      <c r="Y13" s="374"/>
      <c r="Z13" s="374"/>
      <c r="AA13" s="374"/>
      <c r="AB13" s="374"/>
      <c r="AC13" s="374"/>
      <c r="AD13" s="374"/>
      <c r="AE13" s="374"/>
      <c r="AF13" s="374"/>
      <c r="AG13" s="374"/>
      <c r="AH13" s="375">
        <f t="shared" si="2"/>
        <v>0</v>
      </c>
      <c r="AI13" s="376"/>
      <c r="AJ13" s="371" t="s">
        <v>169</v>
      </c>
      <c r="AK13" s="372" t="s">
        <v>170</v>
      </c>
      <c r="AM13" s="211"/>
    </row>
    <row r="14" spans="1:39" x14ac:dyDescent="0.25">
      <c r="A14" s="69" t="s">
        <v>34</v>
      </c>
      <c r="B14" s="70" t="s">
        <v>35</v>
      </c>
      <c r="C14" s="71">
        <v>56</v>
      </c>
      <c r="D14" s="72">
        <v>36</v>
      </c>
      <c r="E14" s="72">
        <v>32</v>
      </c>
      <c r="F14" s="72">
        <v>4</v>
      </c>
      <c r="G14" s="72">
        <v>308</v>
      </c>
      <c r="H14" s="72">
        <v>24</v>
      </c>
      <c r="I14" s="72">
        <v>44</v>
      </c>
      <c r="J14" s="72">
        <v>146</v>
      </c>
      <c r="K14" s="72">
        <v>60</v>
      </c>
      <c r="L14" s="72">
        <v>36</v>
      </c>
      <c r="M14" s="72">
        <v>44</v>
      </c>
      <c r="N14" s="72">
        <v>104</v>
      </c>
      <c r="O14" s="72">
        <v>28</v>
      </c>
      <c r="P14" s="72">
        <v>4</v>
      </c>
      <c r="Q14" s="72">
        <v>110</v>
      </c>
      <c r="R14" s="72">
        <v>40</v>
      </c>
      <c r="S14" s="72">
        <v>36</v>
      </c>
      <c r="T14" s="72">
        <v>12</v>
      </c>
      <c r="U14" s="72">
        <v>203</v>
      </c>
      <c r="V14" s="72">
        <v>78</v>
      </c>
      <c r="W14" s="72">
        <v>129</v>
      </c>
      <c r="X14" s="72">
        <v>90</v>
      </c>
      <c r="Y14" s="72">
        <v>52</v>
      </c>
      <c r="Z14" s="72">
        <v>36</v>
      </c>
      <c r="AA14" s="72">
        <v>84</v>
      </c>
      <c r="AB14" s="72">
        <v>193</v>
      </c>
      <c r="AC14" s="72">
        <v>80</v>
      </c>
      <c r="AD14" s="72">
        <v>44</v>
      </c>
      <c r="AE14" s="72">
        <v>151</v>
      </c>
      <c r="AF14" s="72">
        <v>8</v>
      </c>
      <c r="AG14" s="72">
        <v>40</v>
      </c>
      <c r="AH14" s="108">
        <f t="shared" si="1"/>
        <v>2312</v>
      </c>
      <c r="AJ14" s="69" t="s">
        <v>34</v>
      </c>
      <c r="AK14" s="70" t="s">
        <v>35</v>
      </c>
    </row>
    <row r="15" spans="1:39" x14ac:dyDescent="0.25">
      <c r="A15" s="69" t="s">
        <v>36</v>
      </c>
      <c r="B15" s="70" t="s">
        <v>37</v>
      </c>
      <c r="C15" s="71">
        <v>979.04</v>
      </c>
      <c r="D15" s="72">
        <v>1262.73</v>
      </c>
      <c r="E15" s="72">
        <v>978.99</v>
      </c>
      <c r="F15" s="72">
        <v>1270.6300000000001</v>
      </c>
      <c r="G15" s="72">
        <v>449.1</v>
      </c>
      <c r="H15" s="72">
        <v>557.47</v>
      </c>
      <c r="I15" s="72">
        <v>1335.85</v>
      </c>
      <c r="J15" s="72">
        <v>1298.7</v>
      </c>
      <c r="K15" s="72">
        <v>1235.98</v>
      </c>
      <c r="L15" s="72">
        <v>648.51</v>
      </c>
      <c r="M15" s="72">
        <v>716.68</v>
      </c>
      <c r="N15" s="72">
        <v>538.16999999999996</v>
      </c>
      <c r="O15" s="72">
        <v>580.71</v>
      </c>
      <c r="P15" s="72">
        <v>507.29</v>
      </c>
      <c r="Q15" s="72">
        <v>778.66</v>
      </c>
      <c r="R15" s="72">
        <v>936.23</v>
      </c>
      <c r="S15" s="72">
        <v>680.41</v>
      </c>
      <c r="T15" s="72">
        <v>519.33000000000004</v>
      </c>
      <c r="U15" s="72">
        <v>680.71</v>
      </c>
      <c r="V15" s="72">
        <v>930.89</v>
      </c>
      <c r="W15" s="72">
        <v>950.55</v>
      </c>
      <c r="X15" s="72">
        <v>910.97</v>
      </c>
      <c r="Y15" s="72">
        <v>1081.17</v>
      </c>
      <c r="Z15" s="72">
        <v>748.83</v>
      </c>
      <c r="AA15" s="72">
        <v>835.23</v>
      </c>
      <c r="AB15" s="72">
        <v>669.75</v>
      </c>
      <c r="AC15" s="72">
        <v>793.92</v>
      </c>
      <c r="AD15" s="72">
        <v>352.93</v>
      </c>
      <c r="AE15" s="72">
        <v>802.76</v>
      </c>
      <c r="AF15" s="72">
        <v>1095.1600000000001</v>
      </c>
      <c r="AG15" s="72">
        <v>864.25</v>
      </c>
      <c r="AH15" s="108">
        <f t="shared" si="1"/>
        <v>25991.600000000002</v>
      </c>
      <c r="AJ15" s="69" t="s">
        <v>36</v>
      </c>
      <c r="AK15" s="70" t="s">
        <v>37</v>
      </c>
    </row>
    <row r="16" spans="1:39" x14ac:dyDescent="0.25">
      <c r="A16" s="69" t="s">
        <v>203</v>
      </c>
      <c r="B16" s="70" t="s">
        <v>113</v>
      </c>
      <c r="C16" s="71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108">
        <f t="shared" si="1"/>
        <v>0</v>
      </c>
      <c r="AJ16" s="69" t="s">
        <v>112</v>
      </c>
      <c r="AK16" s="70" t="s">
        <v>113</v>
      </c>
    </row>
    <row r="17" spans="1:39" x14ac:dyDescent="0.25">
      <c r="A17" s="69" t="s">
        <v>78</v>
      </c>
      <c r="B17" s="70" t="s">
        <v>198</v>
      </c>
      <c r="C17" s="71">
        <f>16+132.5</f>
        <v>148.5</v>
      </c>
      <c r="D17" s="72">
        <v>165</v>
      </c>
      <c r="E17" s="72">
        <v>32</v>
      </c>
      <c r="F17" s="72"/>
      <c r="G17" s="72">
        <v>97.5</v>
      </c>
      <c r="H17" s="72">
        <f>16+215</f>
        <v>231</v>
      </c>
      <c r="I17" s="72">
        <f>32+190</f>
        <v>222</v>
      </c>
      <c r="J17" s="72">
        <f>16+285</f>
        <v>301</v>
      </c>
      <c r="K17" s="72">
        <v>16</v>
      </c>
      <c r="L17" s="72">
        <v>105</v>
      </c>
      <c r="M17" s="72">
        <f>16+62.5</f>
        <v>78.5</v>
      </c>
      <c r="N17" s="72"/>
      <c r="O17" s="72">
        <v>16</v>
      </c>
      <c r="P17" s="72">
        <v>135</v>
      </c>
      <c r="Q17" s="72">
        <v>16</v>
      </c>
      <c r="R17" s="72">
        <f>16+105</f>
        <v>121</v>
      </c>
      <c r="S17" s="72"/>
      <c r="T17" s="72">
        <v>32</v>
      </c>
      <c r="U17" s="72">
        <f>48+230</f>
        <v>278</v>
      </c>
      <c r="V17" s="72">
        <v>314</v>
      </c>
      <c r="W17" s="72">
        <v>16</v>
      </c>
      <c r="X17" s="72">
        <v>344.5</v>
      </c>
      <c r="Y17" s="72">
        <v>16</v>
      </c>
      <c r="Z17" s="72">
        <v>145</v>
      </c>
      <c r="AA17" s="72">
        <v>16</v>
      </c>
      <c r="AB17" s="72"/>
      <c r="AC17" s="72"/>
      <c r="AD17" s="72">
        <v>145</v>
      </c>
      <c r="AE17" s="72">
        <v>32</v>
      </c>
      <c r="AF17" s="72">
        <v>52.5</v>
      </c>
      <c r="AG17" s="72"/>
      <c r="AH17" s="108">
        <f t="shared" si="1"/>
        <v>3075.5</v>
      </c>
      <c r="AJ17" s="69" t="s">
        <v>78</v>
      </c>
      <c r="AK17" s="70" t="s">
        <v>79</v>
      </c>
      <c r="AL17" s="211"/>
    </row>
    <row r="18" spans="1:39" hidden="1" x14ac:dyDescent="0.25">
      <c r="A18" s="447" t="s">
        <v>199</v>
      </c>
      <c r="B18" s="70" t="s">
        <v>64</v>
      </c>
      <c r="C18" s="71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108">
        <f t="shared" si="1"/>
        <v>0</v>
      </c>
      <c r="AJ18" s="447" t="s">
        <v>199</v>
      </c>
      <c r="AK18" s="70" t="s">
        <v>64</v>
      </c>
      <c r="AL18" s="211">
        <f>AH18*0.5</f>
        <v>0</v>
      </c>
    </row>
    <row r="19" spans="1:39" x14ac:dyDescent="0.25">
      <c r="A19" s="69" t="s">
        <v>38</v>
      </c>
      <c r="B19" s="70" t="s">
        <v>39</v>
      </c>
      <c r="C19" s="71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108">
        <f t="shared" si="1"/>
        <v>0</v>
      </c>
      <c r="AJ19" s="69" t="s">
        <v>38</v>
      </c>
      <c r="AK19" s="70" t="s">
        <v>39</v>
      </c>
    </row>
    <row r="20" spans="1:39" x14ac:dyDescent="0.25">
      <c r="A20" s="371" t="s">
        <v>165</v>
      </c>
      <c r="B20" s="372" t="s">
        <v>238</v>
      </c>
      <c r="C20" s="373"/>
      <c r="D20" s="374"/>
      <c r="E20" s="374">
        <v>90</v>
      </c>
      <c r="F20" s="374"/>
      <c r="G20" s="374"/>
      <c r="H20" s="374">
        <v>90</v>
      </c>
      <c r="I20" s="374"/>
      <c r="J20" s="374">
        <v>45</v>
      </c>
      <c r="K20" s="374"/>
      <c r="L20" s="374"/>
      <c r="M20" s="374">
        <v>1800</v>
      </c>
      <c r="N20" s="374">
        <v>315</v>
      </c>
      <c r="O20" s="374">
        <v>135</v>
      </c>
      <c r="P20" s="374"/>
      <c r="Q20" s="374"/>
      <c r="R20" s="374"/>
      <c r="S20" s="374"/>
      <c r="T20" s="374">
        <v>135</v>
      </c>
      <c r="U20" s="374">
        <v>90</v>
      </c>
      <c r="V20" s="374">
        <v>45</v>
      </c>
      <c r="W20" s="374">
        <v>135</v>
      </c>
      <c r="X20" s="374">
        <v>-45</v>
      </c>
      <c r="Y20" s="374"/>
      <c r="Z20" s="374"/>
      <c r="AA20" s="374">
        <v>135</v>
      </c>
      <c r="AB20" s="374">
        <v>180</v>
      </c>
      <c r="AC20" s="374"/>
      <c r="AD20" s="374"/>
      <c r="AE20" s="374"/>
      <c r="AF20" s="374"/>
      <c r="AG20" s="374"/>
      <c r="AH20" s="375">
        <f t="shared" si="1"/>
        <v>3150</v>
      </c>
      <c r="AI20" s="376"/>
      <c r="AJ20" s="371" t="s">
        <v>165</v>
      </c>
      <c r="AK20" s="372" t="s">
        <v>238</v>
      </c>
    </row>
    <row r="21" spans="1:39" x14ac:dyDescent="0.25">
      <c r="A21" s="69" t="s">
        <v>40</v>
      </c>
      <c r="B21" s="70" t="s">
        <v>41</v>
      </c>
      <c r="C21" s="71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>
        <v>180</v>
      </c>
      <c r="U21" s="72"/>
      <c r="V21" s="72"/>
      <c r="W21" s="72"/>
      <c r="X21" s="72"/>
      <c r="Y21" s="72"/>
      <c r="Z21" s="72"/>
      <c r="AA21" s="72"/>
      <c r="AB21" s="72">
        <v>90</v>
      </c>
      <c r="AC21" s="72"/>
      <c r="AD21" s="72"/>
      <c r="AE21" s="72"/>
      <c r="AF21" s="72"/>
      <c r="AG21" s="72"/>
      <c r="AH21" s="108">
        <f t="shared" si="1"/>
        <v>270</v>
      </c>
      <c r="AJ21" s="69" t="s">
        <v>40</v>
      </c>
      <c r="AK21" s="70" t="s">
        <v>41</v>
      </c>
    </row>
    <row r="22" spans="1:39" x14ac:dyDescent="0.25">
      <c r="A22" s="69" t="s">
        <v>42</v>
      </c>
      <c r="B22" s="70" t="s">
        <v>43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42</v>
      </c>
      <c r="AK22" s="70" t="s">
        <v>43</v>
      </c>
    </row>
    <row r="23" spans="1:39" hidden="1" x14ac:dyDescent="0.25">
      <c r="A23" s="69" t="s">
        <v>44</v>
      </c>
      <c r="B23" s="70" t="s">
        <v>45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44</v>
      </c>
      <c r="AK23" s="70" t="s">
        <v>45</v>
      </c>
    </row>
    <row r="24" spans="1:39" hidden="1" x14ac:dyDescent="0.25">
      <c r="A24" s="69" t="s">
        <v>46</v>
      </c>
      <c r="B24" s="70" t="s">
        <v>47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46</v>
      </c>
      <c r="AK24" s="70" t="s">
        <v>47</v>
      </c>
    </row>
    <row r="25" spans="1:39" hidden="1" x14ac:dyDescent="0.25">
      <c r="A25" s="69" t="s">
        <v>48</v>
      </c>
      <c r="B25" s="70" t="s">
        <v>49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1"/>
        <v>0</v>
      </c>
      <c r="AJ25" s="69" t="s">
        <v>48</v>
      </c>
      <c r="AK25" s="70" t="s">
        <v>49</v>
      </c>
      <c r="AM25" s="211"/>
    </row>
    <row r="26" spans="1:39" x14ac:dyDescent="0.25">
      <c r="A26" s="69" t="s">
        <v>50</v>
      </c>
      <c r="B26" s="70" t="s">
        <v>51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69" t="s">
        <v>50</v>
      </c>
      <c r="AK26" s="70" t="s">
        <v>51</v>
      </c>
    </row>
    <row r="27" spans="1:39" x14ac:dyDescent="0.25">
      <c r="A27" s="69" t="s">
        <v>52</v>
      </c>
      <c r="B27" s="70" t="s">
        <v>53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1"/>
        <v>0</v>
      </c>
      <c r="AJ27" s="75" t="s">
        <v>52</v>
      </c>
      <c r="AK27" s="76" t="s">
        <v>53</v>
      </c>
    </row>
    <row r="28" spans="1:39" ht="16.5" thickBot="1" x14ac:dyDescent="0.3">
      <c r="A28" s="77" t="s">
        <v>111</v>
      </c>
      <c r="B28" s="78" t="s">
        <v>87</v>
      </c>
      <c r="C28" s="79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108">
        <f t="shared" si="1"/>
        <v>0</v>
      </c>
      <c r="AJ28" s="81" t="s">
        <v>111</v>
      </c>
      <c r="AK28" s="82" t="s">
        <v>87</v>
      </c>
      <c r="AL28" s="211"/>
    </row>
    <row r="29" spans="1:39" s="60" customFormat="1" ht="13.5" thickBot="1" x14ac:dyDescent="0.25">
      <c r="A29" s="200"/>
      <c r="B29" s="84" t="s">
        <v>65</v>
      </c>
      <c r="C29" s="107">
        <f t="shared" ref="C29:AG29" si="3">SUM(C3:C28)</f>
        <v>15577.68</v>
      </c>
      <c r="D29" s="107">
        <f t="shared" si="3"/>
        <v>21995.170000000002</v>
      </c>
      <c r="E29" s="107">
        <f t="shared" si="3"/>
        <v>22932.11</v>
      </c>
      <c r="F29" s="107">
        <f t="shared" si="3"/>
        <v>17306.870000000003</v>
      </c>
      <c r="G29" s="107">
        <f t="shared" si="3"/>
        <v>10040.230000000001</v>
      </c>
      <c r="H29" s="107">
        <f t="shared" si="3"/>
        <v>12297.97</v>
      </c>
      <c r="I29" s="107">
        <f t="shared" si="3"/>
        <v>18971.019999999997</v>
      </c>
      <c r="J29" s="107">
        <f t="shared" si="3"/>
        <v>20044.009999999998</v>
      </c>
      <c r="K29" s="107">
        <f t="shared" si="3"/>
        <v>18015.420000000002</v>
      </c>
      <c r="L29" s="107">
        <f t="shared" si="3"/>
        <v>8877.6999999999989</v>
      </c>
      <c r="M29" s="107">
        <f t="shared" si="3"/>
        <v>15120.49</v>
      </c>
      <c r="N29" s="107">
        <f t="shared" si="3"/>
        <v>13095.09</v>
      </c>
      <c r="O29" s="107">
        <f t="shared" si="3"/>
        <v>12113.73</v>
      </c>
      <c r="P29" s="107">
        <f t="shared" si="3"/>
        <v>13381.45</v>
      </c>
      <c r="Q29" s="107">
        <f t="shared" si="3"/>
        <v>13490.29</v>
      </c>
      <c r="R29" s="107">
        <f t="shared" si="3"/>
        <v>17188.72</v>
      </c>
      <c r="S29" s="107">
        <f t="shared" si="3"/>
        <v>12666.38</v>
      </c>
      <c r="T29" s="107">
        <f t="shared" si="3"/>
        <v>10345.640000000001</v>
      </c>
      <c r="U29" s="107">
        <f t="shared" si="3"/>
        <v>13677.630000000001</v>
      </c>
      <c r="V29" s="107">
        <f t="shared" si="3"/>
        <v>16023.23</v>
      </c>
      <c r="W29" s="107">
        <f t="shared" si="3"/>
        <v>13560.649999999998</v>
      </c>
      <c r="X29" s="107">
        <f t="shared" si="3"/>
        <v>14700.409999999998</v>
      </c>
      <c r="Y29" s="107">
        <f t="shared" si="3"/>
        <v>17581.699999999997</v>
      </c>
      <c r="Z29" s="107">
        <f t="shared" si="3"/>
        <v>11588.99</v>
      </c>
      <c r="AA29" s="107">
        <f t="shared" si="3"/>
        <v>13511.139999999998</v>
      </c>
      <c r="AB29" s="107">
        <f t="shared" si="3"/>
        <v>11998.13</v>
      </c>
      <c r="AC29" s="107">
        <f t="shared" si="3"/>
        <v>11130.210000000001</v>
      </c>
      <c r="AD29" s="107">
        <f t="shared" si="3"/>
        <v>9706.68</v>
      </c>
      <c r="AE29" s="107">
        <f t="shared" si="3"/>
        <v>15082.949999999999</v>
      </c>
      <c r="AF29" s="107">
        <f t="shared" si="3"/>
        <v>15995.039999999999</v>
      </c>
      <c r="AG29" s="107">
        <f t="shared" si="3"/>
        <v>14897.42</v>
      </c>
      <c r="AH29" s="109">
        <f>SUM(C3:AG28)</f>
        <v>452914.14999999956</v>
      </c>
      <c r="AI29" s="85"/>
      <c r="AJ29" s="276"/>
      <c r="AK29" s="277" t="s">
        <v>65</v>
      </c>
    </row>
    <row r="30" spans="1:39" s="60" customFormat="1" ht="13.5" thickBot="1" x14ac:dyDescent="0.25">
      <c r="A30" s="201"/>
      <c r="B30" s="91" t="s">
        <v>106</v>
      </c>
      <c r="C30" s="72">
        <v>15577.68</v>
      </c>
      <c r="D30" s="72">
        <v>21995.17</v>
      </c>
      <c r="E30" s="72">
        <v>22932.11</v>
      </c>
      <c r="F30" s="72">
        <v>17306.87</v>
      </c>
      <c r="G30" s="72">
        <v>10040.23</v>
      </c>
      <c r="H30" s="72">
        <v>12297.97</v>
      </c>
      <c r="I30" s="72">
        <v>18971.02</v>
      </c>
      <c r="J30" s="72">
        <v>20044.82</v>
      </c>
      <c r="K30" s="72">
        <v>18015.419999999998</v>
      </c>
      <c r="L30" s="72">
        <v>8877.7000000000007</v>
      </c>
      <c r="M30" s="72">
        <v>15120.49</v>
      </c>
      <c r="N30" s="72">
        <v>13095.09</v>
      </c>
      <c r="O30" s="72">
        <v>12113.73</v>
      </c>
      <c r="P30" s="72">
        <v>13381.45</v>
      </c>
      <c r="Q30" s="72">
        <v>13805.29</v>
      </c>
      <c r="R30" s="72">
        <v>17188.72</v>
      </c>
      <c r="S30" s="72">
        <v>12666.38</v>
      </c>
      <c r="T30" s="72">
        <v>10345.64</v>
      </c>
      <c r="U30" s="72">
        <v>13677.63</v>
      </c>
      <c r="V30" s="72">
        <v>16023.23</v>
      </c>
      <c r="W30" s="72">
        <v>13560.65</v>
      </c>
      <c r="X30" s="72">
        <v>14700.41</v>
      </c>
      <c r="Y30" s="72">
        <v>17581.7</v>
      </c>
      <c r="Z30" s="72">
        <v>11588.99</v>
      </c>
      <c r="AA30" s="72">
        <v>13511.14</v>
      </c>
      <c r="AB30" s="72">
        <v>12088.13</v>
      </c>
      <c r="AC30" s="72">
        <v>11130.21</v>
      </c>
      <c r="AD30" s="72">
        <v>9706.68</v>
      </c>
      <c r="AE30" s="72">
        <v>15202.95</v>
      </c>
      <c r="AF30" s="72">
        <v>15995.04</v>
      </c>
      <c r="AG30" s="72">
        <v>14897.42</v>
      </c>
      <c r="AH30" s="192">
        <f>SUM(C30:AG30)</f>
        <v>453439.96</v>
      </c>
      <c r="AI30" s="85"/>
      <c r="AJ30" s="191"/>
      <c r="AK30" s="191"/>
    </row>
    <row r="31" spans="1:39" s="60" customFormat="1" thickBot="1" x14ac:dyDescent="0.3">
      <c r="A31" s="202"/>
      <c r="B31" s="104" t="s">
        <v>105</v>
      </c>
      <c r="C31" s="133">
        <f t="shared" ref="C31:AH31" si="4">C29-C30</f>
        <v>0</v>
      </c>
      <c r="D31" s="133">
        <f t="shared" si="4"/>
        <v>0</v>
      </c>
      <c r="E31" s="133">
        <f t="shared" si="4"/>
        <v>0</v>
      </c>
      <c r="F31" s="133">
        <f t="shared" si="4"/>
        <v>0</v>
      </c>
      <c r="G31" s="133">
        <f t="shared" si="4"/>
        <v>0</v>
      </c>
      <c r="H31" s="133">
        <f t="shared" si="4"/>
        <v>0</v>
      </c>
      <c r="I31" s="133">
        <f t="shared" si="4"/>
        <v>0</v>
      </c>
      <c r="J31" s="133">
        <f t="shared" si="4"/>
        <v>-0.81000000000130967</v>
      </c>
      <c r="K31" s="133">
        <f t="shared" si="4"/>
        <v>0</v>
      </c>
      <c r="L31" s="133">
        <f t="shared" si="4"/>
        <v>0</v>
      </c>
      <c r="M31" s="133">
        <f t="shared" si="4"/>
        <v>0</v>
      </c>
      <c r="N31" s="133">
        <f t="shared" si="4"/>
        <v>0</v>
      </c>
      <c r="O31" s="133">
        <f t="shared" si="4"/>
        <v>0</v>
      </c>
      <c r="P31" s="133">
        <f t="shared" si="4"/>
        <v>0</v>
      </c>
      <c r="Q31" s="133">
        <f t="shared" si="4"/>
        <v>-315</v>
      </c>
      <c r="R31" s="133">
        <f t="shared" si="4"/>
        <v>0</v>
      </c>
      <c r="S31" s="133">
        <f t="shared" si="4"/>
        <v>0</v>
      </c>
      <c r="T31" s="133">
        <f t="shared" si="4"/>
        <v>0</v>
      </c>
      <c r="U31" s="133">
        <f t="shared" si="4"/>
        <v>0</v>
      </c>
      <c r="V31" s="133">
        <f t="shared" si="4"/>
        <v>0</v>
      </c>
      <c r="W31" s="133">
        <f t="shared" si="4"/>
        <v>0</v>
      </c>
      <c r="X31" s="133">
        <f t="shared" si="4"/>
        <v>0</v>
      </c>
      <c r="Y31" s="133">
        <f t="shared" si="4"/>
        <v>0</v>
      </c>
      <c r="Z31" s="133">
        <f t="shared" si="4"/>
        <v>0</v>
      </c>
      <c r="AA31" s="133">
        <f t="shared" si="4"/>
        <v>0</v>
      </c>
      <c r="AB31" s="133">
        <f t="shared" si="4"/>
        <v>-90</v>
      </c>
      <c r="AC31" s="133">
        <f t="shared" si="4"/>
        <v>0</v>
      </c>
      <c r="AD31" s="133">
        <f t="shared" si="4"/>
        <v>0</v>
      </c>
      <c r="AE31" s="133">
        <f t="shared" si="4"/>
        <v>-120.00000000000182</v>
      </c>
      <c r="AF31" s="133">
        <f t="shared" si="4"/>
        <v>0</v>
      </c>
      <c r="AG31" s="133">
        <f t="shared" si="4"/>
        <v>0</v>
      </c>
      <c r="AH31" s="278">
        <f t="shared" si="4"/>
        <v>-525.81000000046333</v>
      </c>
      <c r="AI31" s="85"/>
      <c r="AJ31" s="494" t="s">
        <v>131</v>
      </c>
      <c r="AK31" s="495"/>
      <c r="AL31" s="495"/>
      <c r="AM31" s="496"/>
    </row>
    <row r="32" spans="1:39" ht="16.5" thickBot="1" x14ac:dyDescent="0.3">
      <c r="A32" s="196"/>
      <c r="B32" s="197"/>
      <c r="C32" s="198"/>
      <c r="D32" s="197"/>
      <c r="E32" s="197"/>
      <c r="F32" s="197"/>
      <c r="G32" s="197"/>
      <c r="H32" s="279"/>
      <c r="I32" s="197"/>
      <c r="J32" s="197"/>
      <c r="K32" s="197"/>
      <c r="L32" s="197"/>
      <c r="M32" s="197"/>
      <c r="N32" s="197"/>
      <c r="O32" s="197"/>
      <c r="P32" s="197"/>
      <c r="Q32" s="197"/>
      <c r="R32" s="264"/>
      <c r="S32" s="197"/>
      <c r="T32" s="197"/>
      <c r="U32" s="197"/>
      <c r="V32" s="197"/>
      <c r="W32" s="197"/>
      <c r="X32" s="197"/>
      <c r="Y32" s="198"/>
      <c r="Z32" s="197"/>
      <c r="AA32" s="197"/>
      <c r="AB32" s="197"/>
      <c r="AC32" s="197"/>
      <c r="AD32" s="197"/>
      <c r="AE32" s="197"/>
      <c r="AF32" s="197"/>
      <c r="AG32" s="197"/>
      <c r="AH32" s="199"/>
      <c r="AJ32" s="283" t="s">
        <v>67</v>
      </c>
      <c r="AK32" s="284" t="s">
        <v>132</v>
      </c>
      <c r="AL32" s="284" t="s">
        <v>124</v>
      </c>
      <c r="AM32" s="285" t="s">
        <v>125</v>
      </c>
    </row>
    <row r="33" spans="1:40" x14ac:dyDescent="0.25">
      <c r="A33" s="89" t="s">
        <v>60</v>
      </c>
      <c r="B33" s="84" t="s">
        <v>54</v>
      </c>
      <c r="C33" s="394">
        <v>2590.7800000000002</v>
      </c>
      <c r="D33" s="394">
        <v>2590.15</v>
      </c>
      <c r="E33" s="394">
        <v>2905.5</v>
      </c>
      <c r="F33" s="394">
        <v>3657.53</v>
      </c>
      <c r="G33" s="394">
        <v>1283.93</v>
      </c>
      <c r="H33" s="394">
        <v>1189.05</v>
      </c>
      <c r="I33" s="394">
        <v>2773.84</v>
      </c>
      <c r="J33" s="394">
        <v>2586.66</v>
      </c>
      <c r="K33" s="394">
        <v>2132.6999999999998</v>
      </c>
      <c r="L33" s="394">
        <v>1429.84</v>
      </c>
      <c r="M33" s="394">
        <v>2216.04</v>
      </c>
      <c r="N33" s="394">
        <v>2247.33</v>
      </c>
      <c r="O33" s="394">
        <v>2624.95</v>
      </c>
      <c r="P33" s="394">
        <v>1652.1</v>
      </c>
      <c r="Q33" s="394">
        <v>1610.78</v>
      </c>
      <c r="R33" s="394">
        <v>2692.41</v>
      </c>
      <c r="S33" s="394">
        <v>1795.2</v>
      </c>
      <c r="T33" s="394">
        <v>1488.25</v>
      </c>
      <c r="U33" s="394">
        <v>2121.5700000000002</v>
      </c>
      <c r="V33" s="394">
        <v>2013.22</v>
      </c>
      <c r="W33" s="394">
        <v>2072.77</v>
      </c>
      <c r="X33" s="394">
        <v>2264.4299999999998</v>
      </c>
      <c r="Y33" s="394">
        <v>2601.83</v>
      </c>
      <c r="Z33" s="394">
        <v>1858.77</v>
      </c>
      <c r="AA33" s="394">
        <v>2031.47</v>
      </c>
      <c r="AB33" s="394">
        <v>2244.36</v>
      </c>
      <c r="AC33" s="394">
        <v>2319.89</v>
      </c>
      <c r="AD33" s="394">
        <v>1740.07</v>
      </c>
      <c r="AE33" s="395">
        <v>2287.0700000000002</v>
      </c>
      <c r="AF33" s="395">
        <v>2571.75</v>
      </c>
      <c r="AG33" s="395">
        <v>2691.41</v>
      </c>
      <c r="AH33" s="110">
        <f>SUM(C33:AG33)</f>
        <v>68285.649999999994</v>
      </c>
      <c r="AJ33" s="137" t="s">
        <v>60</v>
      </c>
      <c r="AK33" s="138" t="s">
        <v>126</v>
      </c>
      <c r="AL33" s="388">
        <f>SUM(C33:AD33)</f>
        <v>60735.419999999991</v>
      </c>
      <c r="AM33" s="389">
        <f>SUM(AE33:AG33)</f>
        <v>7550.23</v>
      </c>
    </row>
    <row r="34" spans="1:40" x14ac:dyDescent="0.25">
      <c r="A34" s="90" t="s">
        <v>60</v>
      </c>
      <c r="B34" s="91" t="s">
        <v>55</v>
      </c>
      <c r="C34" s="393">
        <v>12986.9</v>
      </c>
      <c r="D34" s="393">
        <v>19405.02</v>
      </c>
      <c r="E34" s="393">
        <v>19952.86</v>
      </c>
      <c r="F34" s="393">
        <v>13649.34</v>
      </c>
      <c r="G34" s="393">
        <f>8928.3-172</f>
        <v>8756.2999999999993</v>
      </c>
      <c r="H34" s="393">
        <f>11151.54-170</f>
        <v>10981.54</v>
      </c>
      <c r="I34" s="393">
        <f>16444.24-135</f>
        <v>16309.240000000002</v>
      </c>
      <c r="J34" s="393">
        <v>17458.16</v>
      </c>
      <c r="K34" s="393">
        <v>15846.72</v>
      </c>
      <c r="L34" s="393">
        <f>7541.86-94</f>
        <v>7447.86</v>
      </c>
      <c r="M34" s="393">
        <f>12984.46-80</f>
        <v>12904.46</v>
      </c>
      <c r="N34" s="393">
        <v>10847.76</v>
      </c>
      <c r="O34" s="393">
        <f>9520.79-32</f>
        <v>9488.7900000000009</v>
      </c>
      <c r="P34" s="393">
        <v>11729.35</v>
      </c>
      <c r="Q34" s="393">
        <v>11834.51</v>
      </c>
      <c r="R34" s="393">
        <f>14656.31-160</f>
        <v>14496.31</v>
      </c>
      <c r="S34" s="393">
        <v>10871.18</v>
      </c>
      <c r="T34" s="393">
        <v>8852.2800000000007</v>
      </c>
      <c r="U34" s="393">
        <v>11556.07</v>
      </c>
      <c r="V34" s="393">
        <v>14004.58</v>
      </c>
      <c r="W34" s="393">
        <v>11487.88</v>
      </c>
      <c r="X34" s="393">
        <f>12419.12+1.13</f>
        <v>12420.25</v>
      </c>
      <c r="Y34" s="393">
        <f>14946.45+2.35</f>
        <v>14948.800000000001</v>
      </c>
      <c r="Z34" s="393">
        <v>9652.4699999999993</v>
      </c>
      <c r="AA34" s="393">
        <v>11231.92</v>
      </c>
      <c r="AB34" s="393">
        <f>9753.54+1.2</f>
        <v>9754.7400000000016</v>
      </c>
      <c r="AC34" s="393">
        <v>8810.32</v>
      </c>
      <c r="AD34" s="393">
        <f>7963.09+3.52</f>
        <v>7966.6100000000006</v>
      </c>
      <c r="AE34" s="393">
        <v>12801.15</v>
      </c>
      <c r="AF34" s="393">
        <f>13520.88-90+5.73</f>
        <v>13436.609999999999</v>
      </c>
      <c r="AG34" s="393">
        <f>12203.36+3</f>
        <v>12206.36</v>
      </c>
      <c r="AH34" s="111">
        <f t="shared" ref="AH34:AH38" si="5">SUM(C34:AG34)</f>
        <v>384096.33999999991</v>
      </c>
      <c r="AJ34" s="129" t="s">
        <v>60</v>
      </c>
      <c r="AK34" s="130" t="s">
        <v>209</v>
      </c>
      <c r="AL34" s="291">
        <v>0</v>
      </c>
      <c r="AM34" s="292">
        <f>SUM(C34:AG34)-AM45</f>
        <v>372505.8899999999</v>
      </c>
    </row>
    <row r="35" spans="1:40" x14ac:dyDescent="0.25">
      <c r="A35" s="92" t="s">
        <v>60</v>
      </c>
      <c r="B35" s="93" t="s">
        <v>99</v>
      </c>
      <c r="C35" s="382"/>
      <c r="D35" s="382"/>
      <c r="E35" s="382"/>
      <c r="F35" s="392"/>
      <c r="G35" s="382"/>
      <c r="H35" s="382"/>
      <c r="I35" s="382"/>
      <c r="J35" s="382"/>
      <c r="K35" s="382"/>
      <c r="L35" s="382"/>
      <c r="M35" s="382"/>
      <c r="N35" s="382"/>
      <c r="O35" s="382"/>
      <c r="P35" s="382"/>
      <c r="Q35" s="382"/>
      <c r="R35" s="382"/>
      <c r="S35" s="382"/>
      <c r="T35" s="382"/>
      <c r="U35" s="382"/>
      <c r="V35" s="382"/>
      <c r="W35" s="382"/>
      <c r="X35" s="382"/>
      <c r="Y35" s="383"/>
      <c r="Z35" s="383"/>
      <c r="AA35" s="382"/>
      <c r="AB35" s="382"/>
      <c r="AC35" s="382"/>
      <c r="AD35" s="382"/>
      <c r="AE35" s="382"/>
      <c r="AF35" s="382"/>
      <c r="AG35" s="382"/>
      <c r="AH35" s="111">
        <f t="shared" si="5"/>
        <v>0</v>
      </c>
      <c r="AJ35" s="129" t="s">
        <v>60</v>
      </c>
      <c r="AK35" s="130" t="s">
        <v>127</v>
      </c>
      <c r="AL35" s="291">
        <f>SUM(C35:AE35)</f>
        <v>0</v>
      </c>
      <c r="AM35" s="292">
        <f>SUM(AE35:AG35)</f>
        <v>0</v>
      </c>
    </row>
    <row r="36" spans="1:40" hidden="1" x14ac:dyDescent="0.25">
      <c r="A36" s="92" t="s">
        <v>60</v>
      </c>
      <c r="B36" s="93" t="s">
        <v>100</v>
      </c>
      <c r="C36" s="382"/>
      <c r="D36" s="382"/>
      <c r="E36" s="382"/>
      <c r="F36" s="382"/>
      <c r="G36" s="382"/>
      <c r="H36" s="382"/>
      <c r="I36" s="382"/>
      <c r="J36" s="382"/>
      <c r="K36" s="382"/>
      <c r="L36" s="382"/>
      <c r="M36" s="382"/>
      <c r="N36" s="382"/>
      <c r="O36" s="382"/>
      <c r="P36" s="382"/>
      <c r="Q36" s="382"/>
      <c r="R36" s="382"/>
      <c r="S36" s="382"/>
      <c r="T36" s="382"/>
      <c r="U36" s="382"/>
      <c r="V36" s="382"/>
      <c r="W36" s="382"/>
      <c r="X36" s="382"/>
      <c r="Y36" s="382"/>
      <c r="Z36" s="382"/>
      <c r="AA36" s="382"/>
      <c r="AB36" s="382"/>
      <c r="AC36" s="382"/>
      <c r="AD36" s="382"/>
      <c r="AE36" s="382"/>
      <c r="AF36" s="382"/>
      <c r="AG36" s="382"/>
      <c r="AH36" s="111">
        <f t="shared" si="5"/>
        <v>0</v>
      </c>
      <c r="AJ36" s="129" t="s">
        <v>60</v>
      </c>
      <c r="AK36" s="130" t="s">
        <v>128</v>
      </c>
      <c r="AL36" s="291"/>
      <c r="AM36" s="390"/>
    </row>
    <row r="37" spans="1:40" ht="16.5" customHeight="1" x14ac:dyDescent="0.25">
      <c r="A37" s="92" t="s">
        <v>68</v>
      </c>
      <c r="B37" s="93" t="s">
        <v>69</v>
      </c>
      <c r="C37" s="382"/>
      <c r="D37" s="382"/>
      <c r="E37" s="382"/>
      <c r="F37" s="382"/>
      <c r="G37" s="382"/>
      <c r="H37" s="382"/>
      <c r="I37" s="382"/>
      <c r="J37" s="382"/>
      <c r="K37" s="382"/>
      <c r="L37" s="382"/>
      <c r="M37" s="382"/>
      <c r="N37" s="382"/>
      <c r="O37" s="382"/>
      <c r="P37" s="382"/>
      <c r="Q37" s="382">
        <v>45</v>
      </c>
      <c r="R37" s="382"/>
      <c r="S37" s="382"/>
      <c r="T37" s="382"/>
      <c r="U37" s="382"/>
      <c r="V37" s="382"/>
      <c r="W37" s="382"/>
      <c r="X37" s="382"/>
      <c r="Y37" s="382"/>
      <c r="Z37" s="382"/>
      <c r="AA37" s="382"/>
      <c r="AB37" s="382"/>
      <c r="AC37" s="382"/>
      <c r="AD37" s="382"/>
      <c r="AE37" s="382"/>
      <c r="AF37" s="382"/>
      <c r="AG37" s="382"/>
      <c r="AH37" s="111">
        <f t="shared" si="5"/>
        <v>45</v>
      </c>
      <c r="AJ37" s="129" t="s">
        <v>68</v>
      </c>
      <c r="AK37" s="130" t="s">
        <v>93</v>
      </c>
      <c r="AL37" s="270">
        <f>AH37</f>
        <v>45</v>
      </c>
      <c r="AM37" s="271"/>
      <c r="AN37" s="266" t="s">
        <v>129</v>
      </c>
    </row>
    <row r="38" spans="1:40" ht="16.5" thickBot="1" x14ac:dyDescent="0.3">
      <c r="A38" s="81" t="s">
        <v>111</v>
      </c>
      <c r="B38" s="94" t="s">
        <v>86</v>
      </c>
      <c r="C38" s="384"/>
      <c r="D38" s="384"/>
      <c r="E38" s="384"/>
      <c r="F38" s="384"/>
      <c r="G38" s="384"/>
      <c r="H38" s="384"/>
      <c r="I38" s="384"/>
      <c r="J38" s="384"/>
      <c r="K38" s="384">
        <v>36</v>
      </c>
      <c r="L38" s="384"/>
      <c r="M38" s="384"/>
      <c r="N38" s="384"/>
      <c r="O38" s="384"/>
      <c r="P38" s="384"/>
      <c r="Q38" s="384"/>
      <c r="R38" s="384"/>
      <c r="S38" s="384"/>
      <c r="T38" s="384"/>
      <c r="U38" s="384"/>
      <c r="V38" s="384"/>
      <c r="W38" s="384"/>
      <c r="X38" s="384"/>
      <c r="Y38" s="384"/>
      <c r="Z38" s="384"/>
      <c r="AA38" s="384"/>
      <c r="AB38" s="384"/>
      <c r="AC38" s="384"/>
      <c r="AD38" s="384"/>
      <c r="AE38" s="384"/>
      <c r="AF38" s="384"/>
      <c r="AG38" s="384"/>
      <c r="AH38" s="112">
        <f t="shared" si="5"/>
        <v>36</v>
      </c>
      <c r="AJ38" s="129" t="s">
        <v>111</v>
      </c>
      <c r="AK38" s="130" t="s">
        <v>160</v>
      </c>
      <c r="AL38" s="270">
        <f>AH38</f>
        <v>36</v>
      </c>
      <c r="AM38" s="271"/>
    </row>
    <row r="39" spans="1:40" ht="16.5" thickBot="1" x14ac:dyDescent="0.3">
      <c r="A39" s="203"/>
      <c r="B39" s="194" t="s">
        <v>66</v>
      </c>
      <c r="C39" s="107">
        <f t="shared" ref="C39:AG39" si="6">SUM(C33:C38)</f>
        <v>15577.68</v>
      </c>
      <c r="D39" s="107">
        <f t="shared" si="6"/>
        <v>21995.170000000002</v>
      </c>
      <c r="E39" s="107">
        <f t="shared" si="6"/>
        <v>22858.36</v>
      </c>
      <c r="F39" s="107">
        <f t="shared" si="6"/>
        <v>17306.87</v>
      </c>
      <c r="G39" s="107">
        <f t="shared" si="6"/>
        <v>10040.23</v>
      </c>
      <c r="H39" s="107">
        <f t="shared" si="6"/>
        <v>12170.59</v>
      </c>
      <c r="I39" s="107">
        <f t="shared" si="6"/>
        <v>19083.080000000002</v>
      </c>
      <c r="J39" s="107">
        <f t="shared" si="6"/>
        <v>20044.82</v>
      </c>
      <c r="K39" s="107">
        <f t="shared" si="6"/>
        <v>18015.419999999998</v>
      </c>
      <c r="L39" s="107">
        <f t="shared" si="6"/>
        <v>8877.6999999999989</v>
      </c>
      <c r="M39" s="107">
        <f t="shared" si="6"/>
        <v>15120.5</v>
      </c>
      <c r="N39" s="107">
        <f t="shared" si="6"/>
        <v>13095.09</v>
      </c>
      <c r="O39" s="107">
        <f t="shared" si="6"/>
        <v>12113.740000000002</v>
      </c>
      <c r="P39" s="107">
        <f t="shared" si="6"/>
        <v>13381.45</v>
      </c>
      <c r="Q39" s="107">
        <f t="shared" si="6"/>
        <v>13490.29</v>
      </c>
      <c r="R39" s="107">
        <f t="shared" si="6"/>
        <v>17188.72</v>
      </c>
      <c r="S39" s="107">
        <f t="shared" si="6"/>
        <v>12666.380000000001</v>
      </c>
      <c r="T39" s="107">
        <f t="shared" si="6"/>
        <v>10340.530000000001</v>
      </c>
      <c r="U39" s="107">
        <f t="shared" si="6"/>
        <v>13677.64</v>
      </c>
      <c r="V39" s="107">
        <f t="shared" si="6"/>
        <v>16017.8</v>
      </c>
      <c r="W39" s="107">
        <f t="shared" si="6"/>
        <v>13560.65</v>
      </c>
      <c r="X39" s="107">
        <f t="shared" si="6"/>
        <v>14684.68</v>
      </c>
      <c r="Y39" s="107">
        <f t="shared" si="6"/>
        <v>17550.63</v>
      </c>
      <c r="Z39" s="107">
        <f t="shared" si="6"/>
        <v>11511.24</v>
      </c>
      <c r="AA39" s="107">
        <f t="shared" si="6"/>
        <v>13263.39</v>
      </c>
      <c r="AB39" s="107">
        <f t="shared" si="6"/>
        <v>11999.100000000002</v>
      </c>
      <c r="AC39" s="107">
        <f t="shared" si="6"/>
        <v>11130.21</v>
      </c>
      <c r="AD39" s="107">
        <f t="shared" si="6"/>
        <v>9706.68</v>
      </c>
      <c r="AE39" s="107">
        <f t="shared" si="6"/>
        <v>15088.22</v>
      </c>
      <c r="AF39" s="107">
        <f t="shared" si="6"/>
        <v>16008.359999999999</v>
      </c>
      <c r="AG39" s="107">
        <f t="shared" si="6"/>
        <v>14897.77</v>
      </c>
      <c r="AH39" s="110">
        <f>SUM(C39:AG39)</f>
        <v>452462.99</v>
      </c>
      <c r="AI39" s="59"/>
      <c r="AJ39" s="490" t="s">
        <v>77</v>
      </c>
      <c r="AK39" s="491"/>
      <c r="AL39" s="492">
        <f>SUM(AL33:AM38)</f>
        <v>440872.53999999992</v>
      </c>
      <c r="AM39" s="493"/>
      <c r="AN39" s="274">
        <f>AL39-AH39+AL45+AM45</f>
        <v>-7.0940586738288403E-11</v>
      </c>
    </row>
    <row r="40" spans="1:40" x14ac:dyDescent="0.25">
      <c r="A40" s="204"/>
      <c r="B40" s="195" t="s">
        <v>106</v>
      </c>
      <c r="C40" s="72">
        <f>C30</f>
        <v>15577.68</v>
      </c>
      <c r="D40" s="72">
        <f t="shared" ref="D40:AG40" si="7">D30</f>
        <v>21995.17</v>
      </c>
      <c r="E40" s="72">
        <f t="shared" si="7"/>
        <v>22932.11</v>
      </c>
      <c r="F40" s="72">
        <f t="shared" si="7"/>
        <v>17306.87</v>
      </c>
      <c r="G40" s="72">
        <f t="shared" si="7"/>
        <v>10040.23</v>
      </c>
      <c r="H40" s="72">
        <f t="shared" si="7"/>
        <v>12297.97</v>
      </c>
      <c r="I40" s="72">
        <f t="shared" si="7"/>
        <v>18971.02</v>
      </c>
      <c r="J40" s="72">
        <f t="shared" si="7"/>
        <v>20044.82</v>
      </c>
      <c r="K40" s="72">
        <f t="shared" si="7"/>
        <v>18015.419999999998</v>
      </c>
      <c r="L40" s="72">
        <f t="shared" si="7"/>
        <v>8877.7000000000007</v>
      </c>
      <c r="M40" s="72">
        <f t="shared" si="7"/>
        <v>15120.49</v>
      </c>
      <c r="N40" s="72">
        <f t="shared" si="7"/>
        <v>13095.09</v>
      </c>
      <c r="O40" s="72">
        <f t="shared" si="7"/>
        <v>12113.73</v>
      </c>
      <c r="P40" s="72">
        <f t="shared" si="7"/>
        <v>13381.45</v>
      </c>
      <c r="Q40" s="72">
        <f t="shared" si="7"/>
        <v>13805.29</v>
      </c>
      <c r="R40" s="72">
        <f t="shared" si="7"/>
        <v>17188.72</v>
      </c>
      <c r="S40" s="72">
        <f t="shared" si="7"/>
        <v>12666.38</v>
      </c>
      <c r="T40" s="72">
        <f t="shared" si="7"/>
        <v>10345.64</v>
      </c>
      <c r="U40" s="72">
        <f t="shared" si="7"/>
        <v>13677.63</v>
      </c>
      <c r="V40" s="72">
        <f t="shared" si="7"/>
        <v>16023.23</v>
      </c>
      <c r="W40" s="72">
        <f t="shared" si="7"/>
        <v>13560.65</v>
      </c>
      <c r="X40" s="72">
        <f t="shared" si="7"/>
        <v>14700.41</v>
      </c>
      <c r="Y40" s="72">
        <f t="shared" si="7"/>
        <v>17581.7</v>
      </c>
      <c r="Z40" s="72">
        <f t="shared" si="7"/>
        <v>11588.99</v>
      </c>
      <c r="AA40" s="72">
        <f t="shared" si="7"/>
        <v>13511.14</v>
      </c>
      <c r="AB40" s="72">
        <f t="shared" si="7"/>
        <v>12088.13</v>
      </c>
      <c r="AC40" s="72">
        <f t="shared" si="7"/>
        <v>11130.21</v>
      </c>
      <c r="AD40" s="72">
        <f t="shared" si="7"/>
        <v>9706.68</v>
      </c>
      <c r="AE40" s="72">
        <f t="shared" si="7"/>
        <v>15202.95</v>
      </c>
      <c r="AF40" s="72">
        <f t="shared" si="7"/>
        <v>15995.04</v>
      </c>
      <c r="AG40" s="72">
        <f t="shared" si="7"/>
        <v>14897.42</v>
      </c>
      <c r="AH40" s="111">
        <f t="shared" ref="AH40:AH41" si="8">SUM(C40:AG40)</f>
        <v>453439.96</v>
      </c>
      <c r="AJ40" s="59"/>
      <c r="AK40" s="59"/>
    </row>
    <row r="41" spans="1:40" ht="16.5" thickBot="1" x14ac:dyDescent="0.3">
      <c r="A41" s="205"/>
      <c r="B41" s="104" t="s">
        <v>105</v>
      </c>
      <c r="C41" s="133">
        <f>C39-C40</f>
        <v>0</v>
      </c>
      <c r="D41" s="133">
        <f>D39-D40</f>
        <v>0</v>
      </c>
      <c r="E41" s="133">
        <f>E39-E40</f>
        <v>-73.75</v>
      </c>
      <c r="F41" s="133">
        <f t="shared" ref="F41:AG41" si="9">F39-F40</f>
        <v>0</v>
      </c>
      <c r="G41" s="133">
        <f t="shared" si="9"/>
        <v>0</v>
      </c>
      <c r="H41" s="133">
        <f t="shared" si="9"/>
        <v>-127.3799999999992</v>
      </c>
      <c r="I41" s="133">
        <f t="shared" si="9"/>
        <v>112.06000000000131</v>
      </c>
      <c r="J41" s="133">
        <f t="shared" si="9"/>
        <v>0</v>
      </c>
      <c r="K41" s="133">
        <f t="shared" si="9"/>
        <v>0</v>
      </c>
      <c r="L41" s="133">
        <f t="shared" si="9"/>
        <v>0</v>
      </c>
      <c r="M41" s="133">
        <f t="shared" si="9"/>
        <v>1.0000000000218279E-2</v>
      </c>
      <c r="N41" s="133">
        <f t="shared" si="9"/>
        <v>0</v>
      </c>
      <c r="O41" s="133">
        <f t="shared" si="9"/>
        <v>1.0000000002037268E-2</v>
      </c>
      <c r="P41" s="133">
        <f t="shared" si="9"/>
        <v>0</v>
      </c>
      <c r="Q41" s="133">
        <f t="shared" si="9"/>
        <v>-315</v>
      </c>
      <c r="R41" s="133">
        <f t="shared" si="9"/>
        <v>0</v>
      </c>
      <c r="S41" s="133">
        <f t="shared" si="9"/>
        <v>0</v>
      </c>
      <c r="T41" s="133">
        <f t="shared" si="9"/>
        <v>-5.1099999999987631</v>
      </c>
      <c r="U41" s="133">
        <f t="shared" si="9"/>
        <v>1.0000000000218279E-2</v>
      </c>
      <c r="V41" s="133">
        <f t="shared" si="9"/>
        <v>-5.430000000000291</v>
      </c>
      <c r="W41" s="133">
        <f t="shared" si="9"/>
        <v>0</v>
      </c>
      <c r="X41" s="133">
        <f t="shared" si="9"/>
        <v>-15.729999999999563</v>
      </c>
      <c r="Y41" s="133">
        <f t="shared" si="9"/>
        <v>-31.069999999999709</v>
      </c>
      <c r="Z41" s="133">
        <f t="shared" si="9"/>
        <v>-77.75</v>
      </c>
      <c r="AA41" s="133">
        <f t="shared" si="9"/>
        <v>-247.75</v>
      </c>
      <c r="AB41" s="133">
        <f t="shared" si="9"/>
        <v>-89.029999999997017</v>
      </c>
      <c r="AC41" s="133">
        <f t="shared" si="9"/>
        <v>0</v>
      </c>
      <c r="AD41" s="133">
        <f t="shared" si="9"/>
        <v>0</v>
      </c>
      <c r="AE41" s="133">
        <f t="shared" si="9"/>
        <v>-114.73000000000138</v>
      </c>
      <c r="AF41" s="133">
        <f t="shared" si="9"/>
        <v>13.31999999999789</v>
      </c>
      <c r="AG41" s="133">
        <f t="shared" si="9"/>
        <v>0.3500000000003638</v>
      </c>
      <c r="AH41" s="112">
        <f t="shared" si="8"/>
        <v>-976.96999999999389</v>
      </c>
      <c r="AJ41" s="378">
        <f>AH39-AH40</f>
        <v>-976.97000000003027</v>
      </c>
      <c r="AK41" s="269"/>
      <c r="AL41" s="99"/>
    </row>
    <row r="42" spans="1:40" ht="16.5" thickBot="1" x14ac:dyDescent="0.3">
      <c r="A42" s="95"/>
      <c r="B42" s="96"/>
      <c r="C42" s="97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8"/>
      <c r="AJ42" s="269"/>
      <c r="AK42" s="269"/>
      <c r="AL42" s="99"/>
      <c r="AM42" s="191"/>
      <c r="AN42" s="193"/>
    </row>
    <row r="43" spans="1:40" s="99" customFormat="1" ht="16.5" thickBot="1" x14ac:dyDescent="0.3">
      <c r="A43" s="100"/>
      <c r="B43" s="101" t="s">
        <v>56</v>
      </c>
      <c r="C43" s="114">
        <f t="shared" ref="C43:AG43" si="10">SUM(C3:C28)-SUM(C33:C38)</f>
        <v>0</v>
      </c>
      <c r="D43" s="114">
        <f t="shared" si="10"/>
        <v>0</v>
      </c>
      <c r="E43" s="114">
        <f t="shared" si="10"/>
        <v>73.75</v>
      </c>
      <c r="F43" s="114">
        <f t="shared" si="10"/>
        <v>0</v>
      </c>
      <c r="G43" s="114">
        <f t="shared" si="10"/>
        <v>0</v>
      </c>
      <c r="H43" s="114">
        <f t="shared" si="10"/>
        <v>127.3799999999992</v>
      </c>
      <c r="I43" s="114">
        <f t="shared" si="10"/>
        <v>-112.06000000000495</v>
      </c>
      <c r="J43" s="114">
        <f t="shared" si="10"/>
        <v>-0.81000000000130967</v>
      </c>
      <c r="K43" s="114">
        <f t="shared" si="10"/>
        <v>0</v>
      </c>
      <c r="L43" s="114">
        <f t="shared" si="10"/>
        <v>0</v>
      </c>
      <c r="M43" s="114">
        <f t="shared" si="10"/>
        <v>-1.0000000000218279E-2</v>
      </c>
      <c r="N43" s="114">
        <f t="shared" si="10"/>
        <v>0</v>
      </c>
      <c r="O43" s="114">
        <f t="shared" si="10"/>
        <v>-1.0000000002037268E-2</v>
      </c>
      <c r="P43" s="114">
        <f t="shared" si="10"/>
        <v>0</v>
      </c>
      <c r="Q43" s="114">
        <f t="shared" si="10"/>
        <v>0</v>
      </c>
      <c r="R43" s="114">
        <f t="shared" si="10"/>
        <v>0</v>
      </c>
      <c r="S43" s="114">
        <f t="shared" si="10"/>
        <v>0</v>
      </c>
      <c r="T43" s="114">
        <f t="shared" si="10"/>
        <v>5.1100000000005821</v>
      </c>
      <c r="U43" s="114">
        <f t="shared" si="10"/>
        <v>-9.9999999983992893E-3</v>
      </c>
      <c r="V43" s="114">
        <f t="shared" si="10"/>
        <v>5.430000000000291</v>
      </c>
      <c r="W43" s="114">
        <f t="shared" si="10"/>
        <v>0</v>
      </c>
      <c r="X43" s="114">
        <f t="shared" si="10"/>
        <v>15.729999999997744</v>
      </c>
      <c r="Y43" s="114">
        <f t="shared" si="10"/>
        <v>31.069999999996071</v>
      </c>
      <c r="Z43" s="114">
        <f t="shared" si="10"/>
        <v>77.75</v>
      </c>
      <c r="AA43" s="114">
        <f t="shared" si="10"/>
        <v>247.74999999999818</v>
      </c>
      <c r="AB43" s="114">
        <f t="shared" si="10"/>
        <v>-0.97000000000298314</v>
      </c>
      <c r="AC43" s="114">
        <f t="shared" si="10"/>
        <v>0</v>
      </c>
      <c r="AD43" s="114">
        <f t="shared" si="10"/>
        <v>0</v>
      </c>
      <c r="AE43" s="114">
        <f t="shared" si="10"/>
        <v>-5.2700000000004366</v>
      </c>
      <c r="AF43" s="114">
        <f t="shared" si="10"/>
        <v>-13.319999999999709</v>
      </c>
      <c r="AG43" s="114">
        <f t="shared" si="10"/>
        <v>-0.3500000000003638</v>
      </c>
      <c r="AH43" s="115">
        <f>SUM(C43:AG43)</f>
        <v>451.15999999998166</v>
      </c>
      <c r="AI43" s="62"/>
      <c r="AJ43" s="212" t="s">
        <v>32</v>
      </c>
      <c r="AK43" s="213" t="s">
        <v>92</v>
      </c>
      <c r="AL43" s="272">
        <f>AH43</f>
        <v>451.15999999998166</v>
      </c>
      <c r="AM43" s="273"/>
      <c r="AN43" s="275" t="s">
        <v>130</v>
      </c>
    </row>
    <row r="44" spans="1:40" s="102" customFormat="1" ht="16.5" thickBot="1" x14ac:dyDescent="0.3">
      <c r="A44" s="225"/>
      <c r="B44" s="226"/>
      <c r="C44" s="226"/>
      <c r="D44" s="226"/>
      <c r="E44" s="226"/>
      <c r="F44" s="226"/>
      <c r="G44" s="226"/>
      <c r="H44" s="226"/>
      <c r="I44" s="226"/>
      <c r="J44" s="226"/>
      <c r="K44" s="226"/>
      <c r="L44" s="226"/>
      <c r="M44" s="226"/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  <c r="Y44" s="226"/>
      <c r="Z44" s="226"/>
      <c r="AA44" s="226"/>
      <c r="AB44" s="226"/>
      <c r="AC44" s="226"/>
      <c r="AD44" s="226"/>
      <c r="AE44" s="226"/>
      <c r="AF44" s="226"/>
      <c r="AG44" s="226"/>
      <c r="AH44" s="227"/>
      <c r="AI44" s="62"/>
      <c r="AJ44" s="225"/>
      <c r="AK44" s="226"/>
      <c r="AL44" s="99"/>
      <c r="AM44" s="481">
        <f>AL39+AL43+AM43+AL45+AM45</f>
        <v>452914.14999999991</v>
      </c>
      <c r="AN44" s="102">
        <f>AM44-AH29</f>
        <v>0</v>
      </c>
    </row>
    <row r="45" spans="1:40" s="99" customFormat="1" ht="16.5" thickBot="1" x14ac:dyDescent="0.3">
      <c r="A45" s="212" t="s">
        <v>205</v>
      </c>
      <c r="B45" s="101" t="s">
        <v>204</v>
      </c>
      <c r="C45" s="213">
        <v>390.58</v>
      </c>
      <c r="D45" s="213">
        <f>603.09-14.39</f>
        <v>588.70000000000005</v>
      </c>
      <c r="E45" s="213">
        <f>624.51-16.23</f>
        <v>608.28</v>
      </c>
      <c r="F45" s="213">
        <v>409.53</v>
      </c>
      <c r="G45" s="213">
        <f>271.01-5.16</f>
        <v>265.84999999999997</v>
      </c>
      <c r="H45" s="213">
        <f>336.72-5.1</f>
        <v>331.62</v>
      </c>
      <c r="I45" s="213">
        <f>498.84-4.05</f>
        <v>494.78999999999996</v>
      </c>
      <c r="J45" s="213">
        <v>525.24</v>
      </c>
      <c r="K45" s="213">
        <v>477.96</v>
      </c>
      <c r="L45" s="213">
        <f>231.35-2.82</f>
        <v>228.53</v>
      </c>
      <c r="M45" s="213">
        <f>389.56-2.4</f>
        <v>387.16</v>
      </c>
      <c r="N45" s="213">
        <v>326.8</v>
      </c>
      <c r="O45" s="213">
        <f>287-0.96</f>
        <v>286.04000000000002</v>
      </c>
      <c r="P45" s="213">
        <v>354.19</v>
      </c>
      <c r="Q45" s="213">
        <v>357.68</v>
      </c>
      <c r="R45" s="213">
        <f>440.65-4.8</f>
        <v>435.84999999999997</v>
      </c>
      <c r="S45" s="213">
        <v>326.77</v>
      </c>
      <c r="T45" s="213">
        <v>269.33</v>
      </c>
      <c r="U45" s="213">
        <v>346.69</v>
      </c>
      <c r="V45" s="213">
        <v>420.76</v>
      </c>
      <c r="W45" s="213">
        <v>345.43</v>
      </c>
      <c r="X45" s="213">
        <f>373.95+0.04</f>
        <v>373.99</v>
      </c>
      <c r="Y45" s="213">
        <f>448.42+0.08</f>
        <v>448.5</v>
      </c>
      <c r="Z45" s="213">
        <f>292.74-0.63</f>
        <v>292.11</v>
      </c>
      <c r="AA45" s="213">
        <f>338.83-1.35</f>
        <v>337.47999999999996</v>
      </c>
      <c r="AB45" s="213">
        <f>293.03+0.04</f>
        <v>293.07</v>
      </c>
      <c r="AC45" s="213">
        <v>268.33</v>
      </c>
      <c r="AD45" s="213">
        <f>241.18+0.12</f>
        <v>241.3</v>
      </c>
      <c r="AE45" s="213">
        <f>389.09-1.26</f>
        <v>387.83</v>
      </c>
      <c r="AF45" s="213">
        <f>405.66-2.7+0.19</f>
        <v>403.15000000000003</v>
      </c>
      <c r="AG45" s="282">
        <f>366.82+0.09</f>
        <v>366.90999999999997</v>
      </c>
      <c r="AH45" s="115">
        <f>SUM(C45:AG45)</f>
        <v>11590.449999999999</v>
      </c>
      <c r="AI45" s="62"/>
      <c r="AJ45" s="212" t="s">
        <v>205</v>
      </c>
      <c r="AK45" s="213" t="s">
        <v>206</v>
      </c>
      <c r="AL45" s="272"/>
      <c r="AM45" s="273">
        <f>SUM(C45:AG45)</f>
        <v>11590.449999999999</v>
      </c>
      <c r="AN45" s="275"/>
    </row>
    <row r="46" spans="1:40" s="102" customFormat="1" ht="16.5" thickBot="1" x14ac:dyDescent="0.3">
      <c r="A46" s="225"/>
      <c r="B46" s="226"/>
      <c r="C46" s="226"/>
      <c r="D46" s="226"/>
      <c r="E46" s="226"/>
      <c r="F46" s="226"/>
      <c r="G46" s="226"/>
      <c r="H46" s="226"/>
      <c r="I46" s="226"/>
      <c r="J46" s="226"/>
      <c r="K46" s="226"/>
      <c r="L46" s="226"/>
      <c r="M46" s="226"/>
      <c r="N46" s="226"/>
      <c r="O46" s="226"/>
      <c r="P46" s="226"/>
      <c r="Q46" s="226"/>
      <c r="R46" s="226"/>
      <c r="S46" s="226"/>
      <c r="T46" s="226"/>
      <c r="U46" s="226"/>
      <c r="V46" s="226"/>
      <c r="W46" s="226"/>
      <c r="X46" s="226"/>
      <c r="Y46" s="226"/>
      <c r="Z46" s="226"/>
      <c r="AA46" s="226"/>
      <c r="AB46" s="226"/>
      <c r="AC46" s="226"/>
      <c r="AD46" s="226"/>
      <c r="AE46" s="226"/>
      <c r="AF46" s="226"/>
      <c r="AG46" s="226"/>
      <c r="AH46" s="227"/>
      <c r="AI46" s="62"/>
      <c r="AJ46" s="225"/>
      <c r="AK46" s="226"/>
      <c r="AL46" s="99"/>
    </row>
    <row r="47" spans="1:40" x14ac:dyDescent="0.25">
      <c r="A47" s="126"/>
      <c r="B47" s="214" t="s">
        <v>57</v>
      </c>
      <c r="C47" s="84">
        <v>759</v>
      </c>
      <c r="D47" s="84">
        <v>1090</v>
      </c>
      <c r="E47" s="84">
        <v>1071</v>
      </c>
      <c r="F47" s="84">
        <v>832</v>
      </c>
      <c r="G47" s="84">
        <v>432</v>
      </c>
      <c r="H47" s="84">
        <v>545</v>
      </c>
      <c r="I47" s="84">
        <v>995</v>
      </c>
      <c r="J47" s="84">
        <v>1012</v>
      </c>
      <c r="K47" s="84">
        <v>963</v>
      </c>
      <c r="L47" s="84">
        <v>455</v>
      </c>
      <c r="M47" s="84">
        <v>620</v>
      </c>
      <c r="N47" s="84">
        <v>559</v>
      </c>
      <c r="O47" s="84">
        <v>619</v>
      </c>
      <c r="P47" s="84">
        <v>633</v>
      </c>
      <c r="Q47" s="84">
        <v>783</v>
      </c>
      <c r="R47" s="84">
        <v>984</v>
      </c>
      <c r="S47" s="84">
        <v>689</v>
      </c>
      <c r="T47" s="84">
        <v>501</v>
      </c>
      <c r="U47" s="84">
        <v>706</v>
      </c>
      <c r="V47" s="84">
        <v>869</v>
      </c>
      <c r="W47" s="84">
        <v>738</v>
      </c>
      <c r="X47" s="84">
        <v>707</v>
      </c>
      <c r="Y47" s="84">
        <v>930</v>
      </c>
      <c r="Z47" s="84">
        <v>599</v>
      </c>
      <c r="AA47" s="84">
        <v>643</v>
      </c>
      <c r="AB47" s="84">
        <v>628</v>
      </c>
      <c r="AC47" s="84">
        <v>640</v>
      </c>
      <c r="AD47" s="84">
        <v>515</v>
      </c>
      <c r="AE47" s="84">
        <v>807</v>
      </c>
      <c r="AF47" s="84">
        <v>782</v>
      </c>
      <c r="AG47" s="84">
        <v>733</v>
      </c>
      <c r="AH47" s="103">
        <f>SUM(C47:AG47)</f>
        <v>22839</v>
      </c>
      <c r="AJ47" s="126">
        <f>AH47</f>
        <v>22839</v>
      </c>
      <c r="AK47" s="219" t="s">
        <v>57</v>
      </c>
      <c r="AL47" s="102"/>
      <c r="AM47" s="102"/>
      <c r="AN47" s="102"/>
    </row>
    <row r="48" spans="1:40" ht="16.5" thickBot="1" x14ac:dyDescent="0.3">
      <c r="A48" s="135"/>
      <c r="B48" s="215" t="s">
        <v>58</v>
      </c>
      <c r="C48" s="94">
        <v>126</v>
      </c>
      <c r="D48" s="94">
        <v>133</v>
      </c>
      <c r="E48" s="94">
        <v>122</v>
      </c>
      <c r="F48" s="94">
        <v>85</v>
      </c>
      <c r="G48" s="94">
        <v>143</v>
      </c>
      <c r="H48" s="94">
        <v>123</v>
      </c>
      <c r="I48" s="94">
        <v>127</v>
      </c>
      <c r="J48" s="94">
        <v>140</v>
      </c>
      <c r="K48" s="94">
        <v>126</v>
      </c>
      <c r="L48" s="94">
        <v>90</v>
      </c>
      <c r="M48" s="94">
        <v>97</v>
      </c>
      <c r="N48" s="94">
        <v>122</v>
      </c>
      <c r="O48" s="94">
        <v>60</v>
      </c>
      <c r="P48" s="94">
        <v>109</v>
      </c>
      <c r="Q48" s="94">
        <v>110</v>
      </c>
      <c r="R48" s="94">
        <v>144</v>
      </c>
      <c r="S48" s="94">
        <v>116</v>
      </c>
      <c r="T48" s="94">
        <v>111</v>
      </c>
      <c r="U48" s="94">
        <v>119</v>
      </c>
      <c r="V48" s="94">
        <v>143</v>
      </c>
      <c r="W48" s="94">
        <v>116</v>
      </c>
      <c r="X48" s="94">
        <v>152</v>
      </c>
      <c r="Y48" s="94">
        <v>122</v>
      </c>
      <c r="Z48" s="94">
        <v>80</v>
      </c>
      <c r="AA48" s="94">
        <v>77</v>
      </c>
      <c r="AB48" s="94">
        <v>96</v>
      </c>
      <c r="AC48" s="94">
        <v>81</v>
      </c>
      <c r="AD48" s="94">
        <v>51</v>
      </c>
      <c r="AE48" s="94">
        <v>89</v>
      </c>
      <c r="AF48" s="94">
        <v>128</v>
      </c>
      <c r="AG48" s="94">
        <v>109</v>
      </c>
      <c r="AH48" s="105">
        <f>SUM(C48:AG48)</f>
        <v>3447</v>
      </c>
      <c r="AJ48" s="135">
        <f>AH48</f>
        <v>3447</v>
      </c>
      <c r="AK48" s="220" t="s">
        <v>58</v>
      </c>
    </row>
    <row r="49" spans="1:37" ht="16.5" thickBot="1" x14ac:dyDescent="0.3">
      <c r="A49" s="224"/>
      <c r="B49" s="228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8"/>
      <c r="AJ49" s="224"/>
      <c r="AK49" s="228"/>
    </row>
    <row r="50" spans="1:37" ht="16.5" thickBot="1" x14ac:dyDescent="0.3">
      <c r="A50" s="212"/>
      <c r="B50" s="213" t="s">
        <v>108</v>
      </c>
      <c r="C50" s="213">
        <f>C47+C48</f>
        <v>885</v>
      </c>
      <c r="D50" s="213">
        <f t="shared" ref="D50:AG50" si="11">D47+D48</f>
        <v>1223</v>
      </c>
      <c r="E50" s="213">
        <f t="shared" si="11"/>
        <v>1193</v>
      </c>
      <c r="F50" s="213">
        <f t="shared" si="11"/>
        <v>917</v>
      </c>
      <c r="G50" s="213">
        <f t="shared" si="11"/>
        <v>575</v>
      </c>
      <c r="H50" s="213">
        <f t="shared" si="11"/>
        <v>668</v>
      </c>
      <c r="I50" s="213">
        <f t="shared" si="11"/>
        <v>1122</v>
      </c>
      <c r="J50" s="213">
        <f t="shared" si="11"/>
        <v>1152</v>
      </c>
      <c r="K50" s="213">
        <f t="shared" si="11"/>
        <v>1089</v>
      </c>
      <c r="L50" s="213">
        <f t="shared" si="11"/>
        <v>545</v>
      </c>
      <c r="M50" s="213">
        <f t="shared" si="11"/>
        <v>717</v>
      </c>
      <c r="N50" s="213">
        <f t="shared" si="11"/>
        <v>681</v>
      </c>
      <c r="O50" s="213">
        <f t="shared" si="11"/>
        <v>679</v>
      </c>
      <c r="P50" s="213">
        <f t="shared" si="11"/>
        <v>742</v>
      </c>
      <c r="Q50" s="213">
        <f t="shared" si="11"/>
        <v>893</v>
      </c>
      <c r="R50" s="213">
        <f t="shared" si="11"/>
        <v>1128</v>
      </c>
      <c r="S50" s="213">
        <f t="shared" si="11"/>
        <v>805</v>
      </c>
      <c r="T50" s="213">
        <f t="shared" si="11"/>
        <v>612</v>
      </c>
      <c r="U50" s="213">
        <f t="shared" si="11"/>
        <v>825</v>
      </c>
      <c r="V50" s="213">
        <f t="shared" si="11"/>
        <v>1012</v>
      </c>
      <c r="W50" s="213">
        <f t="shared" si="11"/>
        <v>854</v>
      </c>
      <c r="X50" s="213">
        <f t="shared" si="11"/>
        <v>859</v>
      </c>
      <c r="Y50" s="213">
        <f t="shared" si="11"/>
        <v>1052</v>
      </c>
      <c r="Z50" s="213">
        <f t="shared" si="11"/>
        <v>679</v>
      </c>
      <c r="AA50" s="213">
        <f t="shared" si="11"/>
        <v>720</v>
      </c>
      <c r="AB50" s="213">
        <f t="shared" si="11"/>
        <v>724</v>
      </c>
      <c r="AC50" s="213">
        <f t="shared" si="11"/>
        <v>721</v>
      </c>
      <c r="AD50" s="213">
        <f t="shared" si="11"/>
        <v>566</v>
      </c>
      <c r="AE50" s="213">
        <f t="shared" si="11"/>
        <v>896</v>
      </c>
      <c r="AF50" s="213">
        <f t="shared" si="11"/>
        <v>910</v>
      </c>
      <c r="AG50" s="282">
        <f t="shared" si="11"/>
        <v>842</v>
      </c>
      <c r="AH50" s="281">
        <f>SUM(C50:AG50)</f>
        <v>26286</v>
      </c>
      <c r="AJ50" s="212">
        <f>AH50</f>
        <v>26286</v>
      </c>
      <c r="AK50" s="221" t="s">
        <v>108</v>
      </c>
    </row>
    <row r="51" spans="1:37" ht="16.5" thickBot="1" x14ac:dyDescent="0.3">
      <c r="A51" s="225"/>
      <c r="B51" s="226"/>
      <c r="C51" s="226"/>
      <c r="D51" s="226"/>
      <c r="E51" s="226"/>
      <c r="F51" s="226"/>
      <c r="G51" s="226"/>
      <c r="H51" s="226"/>
      <c r="I51" s="226"/>
      <c r="J51" s="226"/>
      <c r="K51" s="226"/>
      <c r="L51" s="226"/>
      <c r="M51" s="226"/>
      <c r="N51" s="226"/>
      <c r="O51" s="226"/>
      <c r="P51" s="226"/>
      <c r="Q51" s="226"/>
      <c r="R51" s="226"/>
      <c r="S51" s="226"/>
      <c r="T51" s="226"/>
      <c r="U51" s="226"/>
      <c r="V51" s="226"/>
      <c r="W51" s="226"/>
      <c r="X51" s="226"/>
      <c r="Y51" s="226"/>
      <c r="Z51" s="226"/>
      <c r="AA51" s="226"/>
      <c r="AB51" s="226"/>
      <c r="AC51" s="226"/>
      <c r="AD51" s="226"/>
      <c r="AE51" s="226"/>
      <c r="AF51" s="226"/>
      <c r="AG51" s="226"/>
      <c r="AH51" s="227"/>
      <c r="AJ51" s="226"/>
      <c r="AK51" s="226"/>
    </row>
    <row r="52" spans="1:37" ht="16.5" thickBot="1" x14ac:dyDescent="0.3">
      <c r="A52" s="212"/>
      <c r="B52" s="213" t="s">
        <v>107</v>
      </c>
      <c r="C52" s="216">
        <f t="shared" ref="C52:AG52" si="12">IF(C50&lt;=1,0,IF(C50&gt;=0,(SUM(C4+C7+(C18*0.5))/C50)))</f>
        <v>11.013559322033899</v>
      </c>
      <c r="D52" s="216">
        <f t="shared" si="12"/>
        <v>12.410139002452985</v>
      </c>
      <c r="E52" s="216">
        <f t="shared" si="12"/>
        <v>14.113830678960603</v>
      </c>
      <c r="F52" s="216">
        <f t="shared" si="12"/>
        <v>14.547437295528898</v>
      </c>
      <c r="G52" s="216">
        <f t="shared" si="12"/>
        <v>11.554782608695652</v>
      </c>
      <c r="H52" s="216">
        <f t="shared" si="12"/>
        <v>12.751497005988025</v>
      </c>
      <c r="I52" s="216">
        <f t="shared" si="12"/>
        <v>11.853297682709448</v>
      </c>
      <c r="J52" s="216">
        <f t="shared" si="12"/>
        <v>12.088020833333333</v>
      </c>
      <c r="K52" s="216">
        <f t="shared" si="12"/>
        <v>12.805325987144169</v>
      </c>
      <c r="L52" s="216">
        <f t="shared" si="12"/>
        <v>11.549357798165136</v>
      </c>
      <c r="M52" s="216">
        <f t="shared" si="12"/>
        <v>13.350627615062761</v>
      </c>
      <c r="N52" s="216">
        <f t="shared" si="12"/>
        <v>11.907195301027901</v>
      </c>
      <c r="O52" s="216">
        <f t="shared" si="12"/>
        <v>13.007658321060385</v>
      </c>
      <c r="P52" s="216">
        <f t="shared" si="12"/>
        <v>11.584905660377359</v>
      </c>
      <c r="Q52" s="216">
        <f t="shared" si="12"/>
        <v>10.987905935050392</v>
      </c>
      <c r="R52" s="216">
        <f t="shared" si="12"/>
        <v>11.955496453900709</v>
      </c>
      <c r="S52" s="216">
        <f t="shared" si="12"/>
        <v>11.43776397515528</v>
      </c>
      <c r="T52" s="216">
        <f t="shared" si="12"/>
        <v>12.512745098039217</v>
      </c>
      <c r="U52" s="216">
        <f t="shared" si="12"/>
        <v>12.028606060606061</v>
      </c>
      <c r="V52" s="216">
        <f t="shared" si="12"/>
        <v>11.794071146245059</v>
      </c>
      <c r="W52" s="216">
        <f t="shared" si="12"/>
        <v>11.547775175644027</v>
      </c>
      <c r="X52" s="216">
        <f t="shared" si="12"/>
        <v>11.355529685681024</v>
      </c>
      <c r="Y52" s="216">
        <f t="shared" si="12"/>
        <v>13.177756653992395</v>
      </c>
      <c r="Z52" s="216">
        <f t="shared" si="12"/>
        <v>12.6</v>
      </c>
      <c r="AA52" s="216">
        <f t="shared" si="12"/>
        <v>12.660277777777777</v>
      </c>
      <c r="AB52" s="216">
        <f t="shared" si="12"/>
        <v>11.545027624309393</v>
      </c>
      <c r="AC52" s="216">
        <f t="shared" si="12"/>
        <v>11.602496532593619</v>
      </c>
      <c r="AD52" s="216">
        <f t="shared" si="12"/>
        <v>13.027561837455831</v>
      </c>
      <c r="AE52" s="216">
        <f t="shared" si="12"/>
        <v>12.560267857142858</v>
      </c>
      <c r="AF52" s="216">
        <f t="shared" si="12"/>
        <v>13.598681318681319</v>
      </c>
      <c r="AG52" s="216">
        <f t="shared" si="12"/>
        <v>13.044893111638954</v>
      </c>
      <c r="AH52" s="281">
        <f>IFERROR(AVERAGEIF(C52:AG52, "&lt;&gt;0"),)</f>
        <v>12.321757785692077</v>
      </c>
      <c r="AJ52" s="222">
        <f>AH52</f>
        <v>12.321757785692077</v>
      </c>
      <c r="AK52" s="223" t="s">
        <v>109</v>
      </c>
    </row>
    <row r="53" spans="1:37" ht="16.5" thickBot="1" x14ac:dyDescent="0.3"/>
    <row r="54" spans="1:37" ht="16.5" thickBot="1" x14ac:dyDescent="0.3">
      <c r="A54" s="212"/>
      <c r="B54" s="213" t="s">
        <v>121</v>
      </c>
      <c r="C54" s="243">
        <f t="shared" ref="C54:AG54" si="13">IF(C47&lt;=1,0,IF(C47&gt;=0,(SUM(C4+C7+(C18*0.5))/C47)))</f>
        <v>12.84189723320158</v>
      </c>
      <c r="D54" s="243">
        <f t="shared" si="13"/>
        <v>13.924403669724772</v>
      </c>
      <c r="E54" s="243">
        <f t="shared" si="13"/>
        <v>15.72156862745098</v>
      </c>
      <c r="F54" s="243">
        <f t="shared" si="13"/>
        <v>16.033653846153847</v>
      </c>
      <c r="G54" s="243">
        <f t="shared" si="13"/>
        <v>15.37962962962963</v>
      </c>
      <c r="H54" s="243">
        <f t="shared" si="13"/>
        <v>15.629357798165138</v>
      </c>
      <c r="I54" s="243">
        <f t="shared" si="13"/>
        <v>13.366231155778895</v>
      </c>
      <c r="J54" s="243">
        <f t="shared" si="13"/>
        <v>13.760276679841898</v>
      </c>
      <c r="K54" s="243">
        <f t="shared" si="13"/>
        <v>14.480789200415369</v>
      </c>
      <c r="L54" s="243">
        <f t="shared" si="13"/>
        <v>13.833846153846153</v>
      </c>
      <c r="M54" s="243">
        <f t="shared" si="13"/>
        <v>15.439354838709678</v>
      </c>
      <c r="N54" s="243">
        <f t="shared" si="13"/>
        <v>14.505903398926655</v>
      </c>
      <c r="O54" s="243">
        <f t="shared" si="13"/>
        <v>14.268497576736673</v>
      </c>
      <c r="P54" s="243">
        <f t="shared" si="13"/>
        <v>13.579778830963665</v>
      </c>
      <c r="Q54" s="243">
        <f t="shared" si="13"/>
        <v>12.531545338441891</v>
      </c>
      <c r="R54" s="243">
        <f t="shared" si="13"/>
        <v>13.705081300813008</v>
      </c>
      <c r="S54" s="243">
        <f t="shared" si="13"/>
        <v>13.363425253991291</v>
      </c>
      <c r="T54" s="243">
        <f t="shared" si="13"/>
        <v>15.285029940119761</v>
      </c>
      <c r="U54" s="243">
        <f t="shared" si="13"/>
        <v>14.056090651558074</v>
      </c>
      <c r="V54" s="243">
        <f t="shared" si="13"/>
        <v>13.734867663981589</v>
      </c>
      <c r="W54" s="243">
        <f t="shared" si="13"/>
        <v>13.362872628726286</v>
      </c>
      <c r="X54" s="243">
        <f t="shared" si="13"/>
        <v>13.796888260254596</v>
      </c>
      <c r="Y54" s="243">
        <f t="shared" si="13"/>
        <v>14.906451612903226</v>
      </c>
      <c r="Z54" s="243">
        <f t="shared" si="13"/>
        <v>14.282804674457429</v>
      </c>
      <c r="AA54" s="243">
        <f t="shared" si="13"/>
        <v>14.176360808709175</v>
      </c>
      <c r="AB54" s="243">
        <f t="shared" si="13"/>
        <v>13.309872611464968</v>
      </c>
      <c r="AC54" s="243">
        <f t="shared" si="13"/>
        <v>13.070937499999999</v>
      </c>
      <c r="AD54" s="243">
        <f t="shared" si="13"/>
        <v>14.317669902912622</v>
      </c>
      <c r="AE54" s="243">
        <f t="shared" si="13"/>
        <v>13.945477075588601</v>
      </c>
      <c r="AF54" s="243">
        <f t="shared" si="13"/>
        <v>15.824552429667518</v>
      </c>
      <c r="AG54" s="243">
        <f t="shared" si="13"/>
        <v>14.984720327421554</v>
      </c>
      <c r="AH54" s="280">
        <f>IFERROR(AVERAGEIF(C54:AG54, "&lt;&gt;0"),)</f>
        <v>14.239349568405052</v>
      </c>
      <c r="AI54" s="244"/>
      <c r="AJ54" s="245">
        <f>AH54</f>
        <v>14.239349568405052</v>
      </c>
      <c r="AK54" s="223" t="s">
        <v>122</v>
      </c>
    </row>
    <row r="55" spans="1:37" ht="16.5" thickBot="1" x14ac:dyDescent="0.3"/>
    <row r="56" spans="1:37" ht="16.5" thickBot="1" x14ac:dyDescent="0.3">
      <c r="A56" s="296"/>
      <c r="B56" s="297" t="s">
        <v>134</v>
      </c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9" t="s">
        <v>135</v>
      </c>
      <c r="AJ56" s="300" t="s">
        <v>135</v>
      </c>
      <c r="AK56" s="301" t="s">
        <v>132</v>
      </c>
    </row>
    <row r="57" spans="1:37" x14ac:dyDescent="0.25">
      <c r="A57" s="90"/>
      <c r="B57" s="302" t="s">
        <v>136</v>
      </c>
      <c r="C57" s="91">
        <v>98</v>
      </c>
      <c r="D57" s="91">
        <v>99</v>
      </c>
      <c r="E57" s="91">
        <v>95</v>
      </c>
      <c r="F57" s="91">
        <v>99</v>
      </c>
      <c r="G57" s="91">
        <v>98</v>
      </c>
      <c r="H57" s="91">
        <v>97</v>
      </c>
      <c r="I57" s="91">
        <v>98</v>
      </c>
      <c r="J57" s="91"/>
      <c r="K57" s="91"/>
      <c r="L57" s="91">
        <v>98</v>
      </c>
      <c r="M57" s="91">
        <v>98</v>
      </c>
      <c r="N57" s="91"/>
      <c r="O57" s="91">
        <v>97</v>
      </c>
      <c r="P57" s="91">
        <v>98</v>
      </c>
      <c r="Q57" s="91">
        <v>98</v>
      </c>
      <c r="R57" s="91">
        <v>98</v>
      </c>
      <c r="S57" s="91">
        <v>99</v>
      </c>
      <c r="T57" s="91">
        <v>99</v>
      </c>
      <c r="U57" s="91">
        <v>98</v>
      </c>
      <c r="V57" s="91">
        <v>98</v>
      </c>
      <c r="W57" s="91">
        <v>98</v>
      </c>
      <c r="X57" s="91">
        <v>98</v>
      </c>
      <c r="Y57" s="91">
        <v>98</v>
      </c>
      <c r="Z57" s="91">
        <v>98</v>
      </c>
      <c r="AA57" s="91">
        <v>99</v>
      </c>
      <c r="AB57" s="91">
        <v>97</v>
      </c>
      <c r="AC57" s="91">
        <v>98</v>
      </c>
      <c r="AD57" s="91">
        <v>99</v>
      </c>
      <c r="AE57" s="91">
        <v>99</v>
      </c>
      <c r="AF57" s="91">
        <v>98</v>
      </c>
      <c r="AG57" s="91">
        <v>97</v>
      </c>
      <c r="AH57" s="303">
        <f>IFERROR(AVERAGEIF(C57:AG57,"&lt;&gt;0"),)</f>
        <v>98</v>
      </c>
      <c r="AJ57" s="304">
        <f>AH57</f>
        <v>98</v>
      </c>
      <c r="AK57" s="305" t="s">
        <v>137</v>
      </c>
    </row>
    <row r="58" spans="1:37" x14ac:dyDescent="0.25">
      <c r="A58" s="90"/>
      <c r="B58" s="302" t="s">
        <v>159</v>
      </c>
      <c r="C58" s="91">
        <v>90</v>
      </c>
      <c r="D58" s="91">
        <v>90</v>
      </c>
      <c r="E58" s="91">
        <v>87</v>
      </c>
      <c r="F58" s="91">
        <v>90</v>
      </c>
      <c r="G58" s="91">
        <v>88</v>
      </c>
      <c r="H58" s="91">
        <v>85</v>
      </c>
      <c r="I58" s="91">
        <v>88</v>
      </c>
      <c r="J58" s="91"/>
      <c r="K58" s="91"/>
      <c r="L58" s="91">
        <v>88</v>
      </c>
      <c r="M58" s="91">
        <v>88</v>
      </c>
      <c r="N58" s="91"/>
      <c r="O58" s="91">
        <v>85</v>
      </c>
      <c r="P58" s="91">
        <v>92</v>
      </c>
      <c r="Q58" s="91">
        <v>90</v>
      </c>
      <c r="R58" s="91">
        <v>89</v>
      </c>
      <c r="S58" s="91">
        <v>90</v>
      </c>
      <c r="T58" s="91">
        <v>86</v>
      </c>
      <c r="U58" s="91">
        <v>88</v>
      </c>
      <c r="V58" s="91">
        <v>90</v>
      </c>
      <c r="W58" s="91">
        <v>88</v>
      </c>
      <c r="X58" s="91">
        <v>90</v>
      </c>
      <c r="Y58" s="91">
        <v>91</v>
      </c>
      <c r="Z58" s="91">
        <v>90</v>
      </c>
      <c r="AA58" s="91">
        <v>91</v>
      </c>
      <c r="AB58" s="91">
        <v>89</v>
      </c>
      <c r="AC58" s="91">
        <v>86</v>
      </c>
      <c r="AD58" s="91">
        <v>89</v>
      </c>
      <c r="AE58" s="91">
        <v>89</v>
      </c>
      <c r="AF58" s="91">
        <v>89</v>
      </c>
      <c r="AG58" s="91">
        <v>88</v>
      </c>
      <c r="AH58" s="303">
        <f t="shared" ref="AH58:AH60" si="14">IFERROR(AVERAGEIF(C58:AG58,"&lt;&gt;0"),)</f>
        <v>88.714285714285708</v>
      </c>
      <c r="AJ58" s="306">
        <f>AH58</f>
        <v>88.714285714285708</v>
      </c>
      <c r="AK58" s="307" t="s">
        <v>138</v>
      </c>
    </row>
    <row r="59" spans="1:37" x14ac:dyDescent="0.25">
      <c r="A59" s="90"/>
      <c r="B59" s="302" t="s">
        <v>139</v>
      </c>
      <c r="C59" s="302">
        <v>78</v>
      </c>
      <c r="D59" s="302">
        <v>78</v>
      </c>
      <c r="E59" s="302">
        <v>79</v>
      </c>
      <c r="F59" s="302">
        <v>79</v>
      </c>
      <c r="G59" s="302">
        <v>81</v>
      </c>
      <c r="H59" s="302">
        <v>79</v>
      </c>
      <c r="I59" s="302">
        <v>77</v>
      </c>
      <c r="J59" s="302"/>
      <c r="K59" s="302"/>
      <c r="L59" s="302">
        <v>82</v>
      </c>
      <c r="M59" s="302">
        <v>80</v>
      </c>
      <c r="N59" s="302"/>
      <c r="O59" s="302">
        <v>81</v>
      </c>
      <c r="P59" s="302">
        <v>82</v>
      </c>
      <c r="Q59" s="302">
        <v>81</v>
      </c>
      <c r="R59" s="302">
        <v>80</v>
      </c>
      <c r="S59" s="302">
        <v>80</v>
      </c>
      <c r="T59" s="302">
        <v>81</v>
      </c>
      <c r="U59" s="302">
        <v>80</v>
      </c>
      <c r="V59" s="302">
        <v>81</v>
      </c>
      <c r="W59" s="302">
        <v>80</v>
      </c>
      <c r="X59" s="302">
        <v>83</v>
      </c>
      <c r="Y59" s="302">
        <v>82</v>
      </c>
      <c r="Z59" s="302">
        <v>81</v>
      </c>
      <c r="AA59" s="302">
        <v>81</v>
      </c>
      <c r="AB59" s="302">
        <v>80</v>
      </c>
      <c r="AC59" s="302">
        <v>79</v>
      </c>
      <c r="AD59" s="302">
        <v>80</v>
      </c>
      <c r="AE59" s="302">
        <v>81</v>
      </c>
      <c r="AF59" s="302">
        <v>79</v>
      </c>
      <c r="AG59" s="302">
        <v>79</v>
      </c>
      <c r="AH59" s="303">
        <f t="shared" si="14"/>
        <v>80.142857142857139</v>
      </c>
      <c r="AJ59" s="306">
        <f>AH59</f>
        <v>80.142857142857139</v>
      </c>
      <c r="AK59" s="307" t="s">
        <v>140</v>
      </c>
    </row>
    <row r="60" spans="1:37" ht="16.5" thickBot="1" x14ac:dyDescent="0.3">
      <c r="A60" s="81"/>
      <c r="B60" s="308" t="s">
        <v>141</v>
      </c>
      <c r="C60" s="309"/>
      <c r="D60" s="309"/>
      <c r="E60" s="309"/>
      <c r="F60" s="309"/>
      <c r="G60" s="309"/>
      <c r="H60" s="309"/>
      <c r="I60" s="309"/>
      <c r="J60" s="309"/>
      <c r="K60" s="309"/>
      <c r="L60" s="309"/>
      <c r="M60" s="309"/>
      <c r="N60" s="309"/>
      <c r="O60" s="309"/>
      <c r="P60" s="309"/>
      <c r="Q60" s="309"/>
      <c r="R60" s="309"/>
      <c r="S60" s="309"/>
      <c r="T60" s="309"/>
      <c r="U60" s="309"/>
      <c r="V60" s="309"/>
      <c r="W60" s="309"/>
      <c r="X60" s="309"/>
      <c r="Y60" s="309"/>
      <c r="Z60" s="309"/>
      <c r="AA60" s="309"/>
      <c r="AB60" s="309"/>
      <c r="AC60" s="309"/>
      <c r="AD60" s="309"/>
      <c r="AE60" s="309"/>
      <c r="AF60" s="309"/>
      <c r="AG60" s="309"/>
      <c r="AH60" s="310">
        <f t="shared" si="14"/>
        <v>0</v>
      </c>
      <c r="AJ60" s="311">
        <f>AH60</f>
        <v>0</v>
      </c>
      <c r="AK60" s="82" t="s">
        <v>142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9:AK39"/>
    <mergeCell ref="AL39:AM39"/>
    <mergeCell ref="AJ31:AM31"/>
  </mergeCells>
  <conditionalFormatting sqref="C43:AG43">
    <cfRule type="cellIs" dxfId="13" priority="12" operator="notEqual">
      <formula>0</formula>
    </cfRule>
  </conditionalFormatting>
  <conditionalFormatting sqref="C43:AG43">
    <cfRule type="cellIs" dxfId="12" priority="11" operator="notEqual">
      <formula>0</formula>
    </cfRule>
  </conditionalFormatting>
  <conditionalFormatting sqref="C31:AH31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1:AG41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9">
    <cfRule type="cellIs" dxfId="7" priority="3" operator="lessThan">
      <formula>0</formula>
    </cfRule>
    <cfRule type="cellIs" dxfId="6" priority="4" operator="greaterThan">
      <formula>0</formula>
    </cfRule>
  </conditionalFormatting>
  <pageMargins left="0" right="0" top="0.75" bottom="0.75" header="0.3" footer="0.3"/>
  <pageSetup paperSize="17" scale="57" orientation="landscape" verticalDpi="300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sqref="A1:B1"/>
    </sheetView>
  </sheetViews>
  <sheetFormatPr defaultColWidth="9.140625"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497"/>
      <c r="B1" s="498"/>
      <c r="C1" s="317" t="s">
        <v>145</v>
      </c>
      <c r="D1" s="318" t="s">
        <v>63</v>
      </c>
      <c r="E1" s="318" t="s">
        <v>35</v>
      </c>
      <c r="F1" s="318" t="s">
        <v>146</v>
      </c>
      <c r="G1" s="318" t="s">
        <v>113</v>
      </c>
      <c r="H1" s="318" t="s">
        <v>79</v>
      </c>
      <c r="I1" s="318" t="s">
        <v>41</v>
      </c>
      <c r="J1" s="319"/>
      <c r="K1" s="320" t="s">
        <v>136</v>
      </c>
      <c r="L1" s="320" t="s">
        <v>147</v>
      </c>
      <c r="M1" s="320" t="s">
        <v>139</v>
      </c>
      <c r="N1" s="319"/>
      <c r="O1" s="320" t="s">
        <v>148</v>
      </c>
    </row>
    <row r="2" spans="1:15" x14ac:dyDescent="0.25">
      <c r="A2" s="321">
        <f>'Cash Flow'!A8</f>
        <v>44743</v>
      </c>
      <c r="B2" s="356" t="str">
        <f>TEXT(A2,"ddd")</f>
        <v>Fri</v>
      </c>
      <c r="C2" s="322">
        <f t="array" ref="C2:C32">TRANSPOSE(Pool!C4:AG4)+TRANSPOSE(Pool!C18:AG18*0.5)</f>
        <v>9401.4</v>
      </c>
      <c r="D2" s="322">
        <f t="array" ref="D2:D32">TRANSPOSE(Pool!C6:AG6)</f>
        <v>348</v>
      </c>
      <c r="E2" s="322">
        <f t="array" ref="E2:E32">TRANSPOSE(Pool!C14:AG14)</f>
        <v>56</v>
      </c>
      <c r="F2" s="322">
        <f t="array" ref="F2:F32">TRANSPOSE(Pool!C15:AG15)</f>
        <v>979.04</v>
      </c>
      <c r="G2" s="322">
        <f t="array" ref="G2:G32">TRANSPOSE(Pool!C16:AG16)</f>
        <v>0</v>
      </c>
      <c r="H2" s="322">
        <f t="array" ref="H2:H32">TRANSPOSE(Pool!C17:AG17)+TRANSPOSE(Pool!C18:AG18*0.5)</f>
        <v>148.5</v>
      </c>
      <c r="I2" s="325">
        <f t="array" ref="I2:I32">TRANSPOSE(Pool!C21:AG21)</f>
        <v>0</v>
      </c>
      <c r="J2" s="328"/>
      <c r="K2" s="329">
        <f t="array" ref="K2:K32">TRANSPOSE(Pool!C57:AG57)</f>
        <v>98</v>
      </c>
      <c r="L2" s="332">
        <f t="array" ref="L2:L32">TRANSPOSE(Pool!C58:AG58)</f>
        <v>90</v>
      </c>
      <c r="M2" s="335">
        <f t="array" ref="M2:M32">TRANSPOSE(Pool!C59:AG59)</f>
        <v>78</v>
      </c>
      <c r="N2" s="328"/>
      <c r="O2" s="339">
        <f t="array" ref="O2:O32">TRANSPOSE(Pool!C50:AG50)</f>
        <v>885</v>
      </c>
    </row>
    <row r="3" spans="1:15" x14ac:dyDescent="0.25">
      <c r="A3" s="342">
        <f t="shared" ref="A3:A32" si="0">SUM(A2+1)</f>
        <v>44744</v>
      </c>
      <c r="B3" s="357" t="str">
        <f>TEXT(A3,"ddd")</f>
        <v>Sat</v>
      </c>
      <c r="C3" s="323">
        <v>15177.6</v>
      </c>
      <c r="D3" s="323">
        <v>502.2</v>
      </c>
      <c r="E3" s="323">
        <v>36</v>
      </c>
      <c r="F3" s="323">
        <v>1262.73</v>
      </c>
      <c r="G3" s="323">
        <v>0</v>
      </c>
      <c r="H3" s="323">
        <v>165</v>
      </c>
      <c r="I3" s="326">
        <v>0</v>
      </c>
      <c r="J3" s="328"/>
      <c r="K3" s="330">
        <v>99</v>
      </c>
      <c r="L3" s="333">
        <v>90</v>
      </c>
      <c r="M3" s="336">
        <v>78</v>
      </c>
      <c r="N3" s="328"/>
      <c r="O3" s="340">
        <v>1223</v>
      </c>
    </row>
    <row r="4" spans="1:15" x14ac:dyDescent="0.25">
      <c r="A4" s="342">
        <f t="shared" si="0"/>
        <v>44745</v>
      </c>
      <c r="B4" s="357" t="str">
        <f>TEXT(A4,"DDD")</f>
        <v>Sun</v>
      </c>
      <c r="C4" s="323">
        <v>16837.8</v>
      </c>
      <c r="D4" s="323">
        <v>756.6</v>
      </c>
      <c r="E4" s="323">
        <v>32</v>
      </c>
      <c r="F4" s="323">
        <v>978.99</v>
      </c>
      <c r="G4" s="323">
        <v>0</v>
      </c>
      <c r="H4" s="323">
        <v>32</v>
      </c>
      <c r="I4" s="326">
        <v>0</v>
      </c>
      <c r="J4" s="328"/>
      <c r="K4" s="330">
        <v>95</v>
      </c>
      <c r="L4" s="333">
        <v>87</v>
      </c>
      <c r="M4" s="336">
        <v>79</v>
      </c>
      <c r="N4" s="328"/>
      <c r="O4" s="340">
        <v>1193</v>
      </c>
    </row>
    <row r="5" spans="1:15" x14ac:dyDescent="0.25">
      <c r="A5" s="342">
        <f t="shared" si="0"/>
        <v>44746</v>
      </c>
      <c r="B5" s="357" t="str">
        <f>TEXT(A5,"ddd")</f>
        <v>Mon</v>
      </c>
      <c r="C5" s="323">
        <v>13340</v>
      </c>
      <c r="D5" s="323">
        <v>799.2</v>
      </c>
      <c r="E5" s="323">
        <v>4</v>
      </c>
      <c r="F5" s="323">
        <v>1270.6300000000001</v>
      </c>
      <c r="G5" s="323">
        <v>0</v>
      </c>
      <c r="H5" s="323">
        <v>0</v>
      </c>
      <c r="I5" s="326">
        <v>0</v>
      </c>
      <c r="J5" s="328"/>
      <c r="K5" s="330">
        <v>99</v>
      </c>
      <c r="L5" s="333">
        <v>90</v>
      </c>
      <c r="M5" s="336">
        <v>79</v>
      </c>
      <c r="N5" s="328"/>
      <c r="O5" s="340">
        <v>917</v>
      </c>
    </row>
    <row r="6" spans="1:15" x14ac:dyDescent="0.25">
      <c r="A6" s="342">
        <f t="shared" si="0"/>
        <v>44747</v>
      </c>
      <c r="B6" s="357" t="str">
        <f>TEXT(A6,"DDD")</f>
        <v>Tue</v>
      </c>
      <c r="C6" s="323">
        <v>6644</v>
      </c>
      <c r="D6" s="323">
        <v>180</v>
      </c>
      <c r="E6" s="323">
        <v>308</v>
      </c>
      <c r="F6" s="323">
        <v>449.1</v>
      </c>
      <c r="G6" s="323">
        <v>0</v>
      </c>
      <c r="H6" s="323">
        <v>97.5</v>
      </c>
      <c r="I6" s="326">
        <v>0</v>
      </c>
      <c r="J6" s="328"/>
      <c r="K6" s="330">
        <v>98</v>
      </c>
      <c r="L6" s="333">
        <v>88</v>
      </c>
      <c r="M6" s="336">
        <v>81</v>
      </c>
      <c r="N6" s="328"/>
      <c r="O6" s="340">
        <v>575</v>
      </c>
    </row>
    <row r="7" spans="1:15" x14ac:dyDescent="0.25">
      <c r="A7" s="342">
        <f t="shared" si="0"/>
        <v>44748</v>
      </c>
      <c r="B7" s="357" t="str">
        <f>TEXT(A7,"ddd")</f>
        <v>Wed</v>
      </c>
      <c r="C7" s="323">
        <v>8356</v>
      </c>
      <c r="D7" s="323">
        <v>352.8</v>
      </c>
      <c r="E7" s="323">
        <v>24</v>
      </c>
      <c r="F7" s="323">
        <v>557.47</v>
      </c>
      <c r="G7" s="323">
        <v>0</v>
      </c>
      <c r="H7" s="323">
        <v>231</v>
      </c>
      <c r="I7" s="326">
        <v>0</v>
      </c>
      <c r="J7" s="328"/>
      <c r="K7" s="330">
        <v>97</v>
      </c>
      <c r="L7" s="333">
        <v>85</v>
      </c>
      <c r="M7" s="336">
        <v>79</v>
      </c>
      <c r="N7" s="328"/>
      <c r="O7" s="340">
        <v>668</v>
      </c>
    </row>
    <row r="8" spans="1:15" x14ac:dyDescent="0.25">
      <c r="A8" s="342">
        <f t="shared" si="0"/>
        <v>44749</v>
      </c>
      <c r="B8" s="357" t="str">
        <f>TEXT(A8,"DDD")</f>
        <v>Thu</v>
      </c>
      <c r="C8" s="323">
        <v>13299.4</v>
      </c>
      <c r="D8" s="323">
        <v>591.6</v>
      </c>
      <c r="E8" s="323">
        <v>44</v>
      </c>
      <c r="F8" s="323">
        <v>1335.85</v>
      </c>
      <c r="G8" s="323">
        <v>0</v>
      </c>
      <c r="H8" s="323">
        <v>222</v>
      </c>
      <c r="I8" s="326">
        <v>0</v>
      </c>
      <c r="J8" s="328"/>
      <c r="K8" s="330">
        <v>98</v>
      </c>
      <c r="L8" s="333">
        <v>88</v>
      </c>
      <c r="M8" s="336">
        <v>77</v>
      </c>
      <c r="N8" s="328"/>
      <c r="O8" s="340">
        <v>1122</v>
      </c>
    </row>
    <row r="9" spans="1:15" x14ac:dyDescent="0.25">
      <c r="A9" s="342">
        <f t="shared" si="0"/>
        <v>44750</v>
      </c>
      <c r="B9" s="357" t="str">
        <f>TEXT(A9,"ddd")</f>
        <v>Fri</v>
      </c>
      <c r="C9" s="323">
        <v>13925.4</v>
      </c>
      <c r="D9" s="323">
        <v>834.6</v>
      </c>
      <c r="E9" s="323">
        <v>146</v>
      </c>
      <c r="F9" s="323">
        <v>1298.7</v>
      </c>
      <c r="G9" s="323">
        <v>0</v>
      </c>
      <c r="H9" s="323">
        <v>301</v>
      </c>
      <c r="I9" s="326">
        <v>0</v>
      </c>
      <c r="J9" s="328"/>
      <c r="K9" s="330">
        <v>0</v>
      </c>
      <c r="L9" s="333">
        <v>0</v>
      </c>
      <c r="M9" s="337">
        <v>0</v>
      </c>
      <c r="N9" s="328"/>
      <c r="O9" s="340">
        <v>1152</v>
      </c>
    </row>
    <row r="10" spans="1:15" x14ac:dyDescent="0.25">
      <c r="A10" s="342">
        <f t="shared" si="0"/>
        <v>44751</v>
      </c>
      <c r="B10" s="357" t="str">
        <f>TEXT(A10,"DDD")</f>
        <v>Sat</v>
      </c>
      <c r="C10" s="323">
        <v>13945</v>
      </c>
      <c r="D10" s="323">
        <v>854.4</v>
      </c>
      <c r="E10" s="323">
        <v>60</v>
      </c>
      <c r="F10" s="323">
        <v>1235.98</v>
      </c>
      <c r="G10" s="323">
        <v>0</v>
      </c>
      <c r="H10" s="323">
        <v>16</v>
      </c>
      <c r="I10" s="326">
        <v>0</v>
      </c>
      <c r="J10" s="328"/>
      <c r="K10" s="330">
        <v>0</v>
      </c>
      <c r="L10" s="333">
        <v>0</v>
      </c>
      <c r="M10" s="336">
        <v>0</v>
      </c>
      <c r="N10" s="328"/>
      <c r="O10" s="340">
        <v>1089</v>
      </c>
    </row>
    <row r="11" spans="1:15" x14ac:dyDescent="0.25">
      <c r="A11" s="342">
        <f t="shared" si="0"/>
        <v>44752</v>
      </c>
      <c r="B11" s="357" t="str">
        <f>TEXT(A11,"ddd")</f>
        <v>Sun</v>
      </c>
      <c r="C11" s="323">
        <v>6294.4</v>
      </c>
      <c r="D11" s="323">
        <v>262.2</v>
      </c>
      <c r="E11" s="323">
        <v>36</v>
      </c>
      <c r="F11" s="323">
        <v>648.51</v>
      </c>
      <c r="G11" s="323">
        <v>0</v>
      </c>
      <c r="H11" s="323">
        <v>105</v>
      </c>
      <c r="I11" s="326">
        <v>0</v>
      </c>
      <c r="J11" s="328"/>
      <c r="K11" s="330">
        <v>98</v>
      </c>
      <c r="L11" s="333">
        <v>88</v>
      </c>
      <c r="M11" s="336">
        <v>82</v>
      </c>
      <c r="N11" s="328"/>
      <c r="O11" s="340">
        <v>545</v>
      </c>
    </row>
    <row r="12" spans="1:15" x14ac:dyDescent="0.25">
      <c r="A12" s="342">
        <f t="shared" si="0"/>
        <v>44753</v>
      </c>
      <c r="B12" s="357" t="str">
        <f>TEXT(A12,"DDD")</f>
        <v>Mon</v>
      </c>
      <c r="C12" s="323">
        <v>9572.4</v>
      </c>
      <c r="D12" s="323">
        <v>534</v>
      </c>
      <c r="E12" s="323">
        <v>44</v>
      </c>
      <c r="F12" s="323">
        <v>716.68</v>
      </c>
      <c r="G12" s="323">
        <v>0</v>
      </c>
      <c r="H12" s="323">
        <v>78.5</v>
      </c>
      <c r="I12" s="326">
        <v>0</v>
      </c>
      <c r="J12" s="328"/>
      <c r="K12" s="330">
        <v>98</v>
      </c>
      <c r="L12" s="333">
        <v>88</v>
      </c>
      <c r="M12" s="336">
        <v>80</v>
      </c>
      <c r="N12" s="328"/>
      <c r="O12" s="340">
        <v>717</v>
      </c>
    </row>
    <row r="13" spans="1:15" x14ac:dyDescent="0.25">
      <c r="A13" s="342">
        <f t="shared" si="0"/>
        <v>44754</v>
      </c>
      <c r="B13" s="357" t="str">
        <f>TEXT(A13,"ddd")</f>
        <v>Tue</v>
      </c>
      <c r="C13" s="323">
        <v>8108.8</v>
      </c>
      <c r="D13" s="323">
        <v>589.20000000000005</v>
      </c>
      <c r="E13" s="323">
        <v>104</v>
      </c>
      <c r="F13" s="323">
        <v>538.16999999999996</v>
      </c>
      <c r="G13" s="323">
        <v>0</v>
      </c>
      <c r="H13" s="323">
        <v>0</v>
      </c>
      <c r="I13" s="326">
        <v>0</v>
      </c>
      <c r="J13" s="328"/>
      <c r="K13" s="330">
        <v>0</v>
      </c>
      <c r="L13" s="333">
        <v>0</v>
      </c>
      <c r="M13" s="336">
        <v>0</v>
      </c>
      <c r="N13" s="328"/>
      <c r="O13" s="340">
        <v>681</v>
      </c>
    </row>
    <row r="14" spans="1:15" x14ac:dyDescent="0.25">
      <c r="A14" s="342">
        <f t="shared" si="0"/>
        <v>44755</v>
      </c>
      <c r="B14" s="357" t="str">
        <f>TEXT(A14,"DDD")</f>
        <v>Wed</v>
      </c>
      <c r="C14" s="323">
        <v>8832.2000000000007</v>
      </c>
      <c r="D14" s="323">
        <v>550.79999999999995</v>
      </c>
      <c r="E14" s="323">
        <v>28</v>
      </c>
      <c r="F14" s="323">
        <v>580.71</v>
      </c>
      <c r="G14" s="323">
        <v>0</v>
      </c>
      <c r="H14" s="323">
        <v>16</v>
      </c>
      <c r="I14" s="326">
        <v>0</v>
      </c>
      <c r="J14" s="328"/>
      <c r="K14" s="330">
        <v>97</v>
      </c>
      <c r="L14" s="333">
        <v>85</v>
      </c>
      <c r="M14" s="336">
        <v>81</v>
      </c>
      <c r="N14" s="328"/>
      <c r="O14" s="340">
        <v>679</v>
      </c>
    </row>
    <row r="15" spans="1:15" x14ac:dyDescent="0.25">
      <c r="A15" s="342">
        <f t="shared" si="0"/>
        <v>44756</v>
      </c>
      <c r="B15" s="357" t="str">
        <f>TEXT(A15,"ddd")</f>
        <v>Thu</v>
      </c>
      <c r="C15" s="323">
        <v>8596</v>
      </c>
      <c r="D15" s="323">
        <v>381.6</v>
      </c>
      <c r="E15" s="323">
        <v>4</v>
      </c>
      <c r="F15" s="323">
        <v>507.29</v>
      </c>
      <c r="G15" s="323">
        <v>0</v>
      </c>
      <c r="H15" s="323">
        <v>135</v>
      </c>
      <c r="I15" s="326">
        <v>0</v>
      </c>
      <c r="J15" s="328"/>
      <c r="K15" s="330">
        <v>98</v>
      </c>
      <c r="L15" s="333">
        <v>92</v>
      </c>
      <c r="M15" s="336">
        <v>82</v>
      </c>
      <c r="N15" s="328"/>
      <c r="O15" s="340">
        <v>742</v>
      </c>
    </row>
    <row r="16" spans="1:15" x14ac:dyDescent="0.25">
      <c r="A16" s="342">
        <f t="shared" si="0"/>
        <v>44757</v>
      </c>
      <c r="B16" s="357" t="str">
        <f>TEXT(A16,"DDD")</f>
        <v>Fri</v>
      </c>
      <c r="C16" s="323">
        <v>9812.2000000000007</v>
      </c>
      <c r="D16" s="323">
        <v>504</v>
      </c>
      <c r="E16" s="323">
        <v>110</v>
      </c>
      <c r="F16" s="323">
        <v>778.66</v>
      </c>
      <c r="G16" s="323">
        <v>0</v>
      </c>
      <c r="H16" s="323">
        <v>16</v>
      </c>
      <c r="I16" s="326">
        <v>0</v>
      </c>
      <c r="J16" s="328"/>
      <c r="K16" s="330">
        <v>98</v>
      </c>
      <c r="L16" s="333">
        <v>90</v>
      </c>
      <c r="M16" s="336">
        <v>81</v>
      </c>
      <c r="N16" s="328"/>
      <c r="O16" s="340">
        <v>893</v>
      </c>
    </row>
    <row r="17" spans="1:15" x14ac:dyDescent="0.25">
      <c r="A17" s="342">
        <f t="shared" si="0"/>
        <v>44758</v>
      </c>
      <c r="B17" s="357" t="str">
        <f>TEXT(A17,"ddd")</f>
        <v>Sat</v>
      </c>
      <c r="C17" s="323">
        <v>13485.8</v>
      </c>
      <c r="D17" s="323">
        <v>612.6</v>
      </c>
      <c r="E17" s="323">
        <v>40</v>
      </c>
      <c r="F17" s="323">
        <v>936.23</v>
      </c>
      <c r="G17" s="323">
        <v>0</v>
      </c>
      <c r="H17" s="323">
        <v>121</v>
      </c>
      <c r="I17" s="326">
        <v>0</v>
      </c>
      <c r="J17" s="328"/>
      <c r="K17" s="330">
        <v>98</v>
      </c>
      <c r="L17" s="333">
        <v>89</v>
      </c>
      <c r="M17" s="336">
        <v>80</v>
      </c>
      <c r="N17" s="328"/>
      <c r="O17" s="340">
        <v>1128</v>
      </c>
    </row>
    <row r="18" spans="1:15" x14ac:dyDescent="0.25">
      <c r="A18" s="342">
        <f t="shared" si="0"/>
        <v>44759</v>
      </c>
      <c r="B18" s="357" t="str">
        <f>TEXT(A18,"DDD")</f>
        <v>Sun</v>
      </c>
      <c r="C18" s="323">
        <v>9207.4</v>
      </c>
      <c r="D18" s="323">
        <v>333.6</v>
      </c>
      <c r="E18" s="323">
        <v>36</v>
      </c>
      <c r="F18" s="323">
        <v>680.41</v>
      </c>
      <c r="G18" s="323">
        <v>0</v>
      </c>
      <c r="H18" s="323">
        <v>0</v>
      </c>
      <c r="I18" s="326">
        <v>0</v>
      </c>
      <c r="J18" s="328"/>
      <c r="K18" s="330">
        <v>99</v>
      </c>
      <c r="L18" s="333">
        <v>90</v>
      </c>
      <c r="M18" s="336">
        <v>80</v>
      </c>
      <c r="N18" s="328"/>
      <c r="O18" s="340">
        <v>805</v>
      </c>
    </row>
    <row r="19" spans="1:15" x14ac:dyDescent="0.25">
      <c r="A19" s="342">
        <f t="shared" si="0"/>
        <v>44760</v>
      </c>
      <c r="B19" s="357" t="str">
        <f>TEXT(A19,"ddd")</f>
        <v>Mon</v>
      </c>
      <c r="C19" s="323">
        <v>7657.8</v>
      </c>
      <c r="D19" s="323">
        <v>366</v>
      </c>
      <c r="E19" s="323">
        <v>12</v>
      </c>
      <c r="F19" s="323">
        <v>519.33000000000004</v>
      </c>
      <c r="G19" s="323">
        <v>0</v>
      </c>
      <c r="H19" s="323">
        <v>32</v>
      </c>
      <c r="I19" s="326">
        <v>180</v>
      </c>
      <c r="J19" s="328"/>
      <c r="K19" s="330">
        <v>99</v>
      </c>
      <c r="L19" s="333">
        <v>86</v>
      </c>
      <c r="M19" s="336">
        <v>81</v>
      </c>
      <c r="N19" s="328"/>
      <c r="O19" s="340">
        <v>612</v>
      </c>
    </row>
    <row r="20" spans="1:15" x14ac:dyDescent="0.25">
      <c r="A20" s="342">
        <f t="shared" si="0"/>
        <v>44761</v>
      </c>
      <c r="B20" s="357" t="str">
        <f>TEXT(A20,"DDD")</f>
        <v>Tue</v>
      </c>
      <c r="C20" s="323">
        <v>9923.6</v>
      </c>
      <c r="D20" s="323">
        <v>518.4</v>
      </c>
      <c r="E20" s="323">
        <v>203</v>
      </c>
      <c r="F20" s="323">
        <v>680.71</v>
      </c>
      <c r="G20" s="323">
        <v>0</v>
      </c>
      <c r="H20" s="323">
        <v>278</v>
      </c>
      <c r="I20" s="326">
        <v>0</v>
      </c>
      <c r="J20" s="328"/>
      <c r="K20" s="330">
        <v>98</v>
      </c>
      <c r="L20" s="333">
        <v>88</v>
      </c>
      <c r="M20" s="336">
        <v>80</v>
      </c>
      <c r="N20" s="328"/>
      <c r="O20" s="340">
        <v>825</v>
      </c>
    </row>
    <row r="21" spans="1:15" x14ac:dyDescent="0.25">
      <c r="A21" s="342">
        <f t="shared" si="0"/>
        <v>44762</v>
      </c>
      <c r="B21" s="357" t="str">
        <f>TEXT(A21,"ddd")</f>
        <v>Wed</v>
      </c>
      <c r="C21" s="323">
        <v>11935.6</v>
      </c>
      <c r="D21" s="323">
        <v>651</v>
      </c>
      <c r="E21" s="323">
        <v>78</v>
      </c>
      <c r="F21" s="323">
        <v>930.89</v>
      </c>
      <c r="G21" s="323">
        <v>0</v>
      </c>
      <c r="H21" s="323">
        <v>314</v>
      </c>
      <c r="I21" s="326">
        <v>0</v>
      </c>
      <c r="J21" s="328"/>
      <c r="K21" s="330">
        <v>98</v>
      </c>
      <c r="L21" s="333">
        <v>90</v>
      </c>
      <c r="M21" s="336">
        <v>81</v>
      </c>
      <c r="N21" s="328"/>
      <c r="O21" s="340">
        <v>1012</v>
      </c>
    </row>
    <row r="22" spans="1:15" x14ac:dyDescent="0.25">
      <c r="A22" s="342">
        <f t="shared" si="0"/>
        <v>44763</v>
      </c>
      <c r="B22" s="357" t="str">
        <f>TEXT(A22,"DDD")</f>
        <v>Thu</v>
      </c>
      <c r="C22" s="323">
        <v>9861.7999999999993</v>
      </c>
      <c r="D22" s="323">
        <v>529.79999999999995</v>
      </c>
      <c r="E22" s="323">
        <v>129</v>
      </c>
      <c r="F22" s="323">
        <v>950.55</v>
      </c>
      <c r="G22" s="323">
        <v>0</v>
      </c>
      <c r="H22" s="323">
        <v>16</v>
      </c>
      <c r="I22" s="326">
        <v>0</v>
      </c>
      <c r="J22" s="328"/>
      <c r="K22" s="330">
        <v>98</v>
      </c>
      <c r="L22" s="333">
        <v>88</v>
      </c>
      <c r="M22" s="336">
        <v>80</v>
      </c>
      <c r="N22" s="328"/>
      <c r="O22" s="340">
        <v>854</v>
      </c>
    </row>
    <row r="23" spans="1:15" x14ac:dyDescent="0.25">
      <c r="A23" s="342">
        <f t="shared" si="0"/>
        <v>44764</v>
      </c>
      <c r="B23" s="357" t="str">
        <f>TEXT(A23,"ddd")</f>
        <v>Fri</v>
      </c>
      <c r="C23" s="323">
        <v>9754.4</v>
      </c>
      <c r="D23" s="323">
        <v>560.4</v>
      </c>
      <c r="E23" s="323">
        <v>90</v>
      </c>
      <c r="F23" s="323">
        <v>910.97</v>
      </c>
      <c r="G23" s="323">
        <v>0</v>
      </c>
      <c r="H23" s="323">
        <v>344.5</v>
      </c>
      <c r="I23" s="326">
        <v>0</v>
      </c>
      <c r="J23" s="328"/>
      <c r="K23" s="330">
        <v>98</v>
      </c>
      <c r="L23" s="333">
        <v>90</v>
      </c>
      <c r="M23" s="336">
        <v>83</v>
      </c>
      <c r="N23" s="328"/>
      <c r="O23" s="340">
        <v>859</v>
      </c>
    </row>
    <row r="24" spans="1:15" x14ac:dyDescent="0.25">
      <c r="A24" s="342">
        <f t="shared" si="0"/>
        <v>44765</v>
      </c>
      <c r="B24" s="357" t="str">
        <f>TEXT(A24,"DDD")</f>
        <v>Sat</v>
      </c>
      <c r="C24" s="323">
        <v>13863</v>
      </c>
      <c r="D24" s="323">
        <v>592.79999999999995</v>
      </c>
      <c r="E24" s="323">
        <v>52</v>
      </c>
      <c r="F24" s="323">
        <v>1081.17</v>
      </c>
      <c r="G24" s="323">
        <v>0</v>
      </c>
      <c r="H24" s="323">
        <v>16</v>
      </c>
      <c r="I24" s="326">
        <v>0</v>
      </c>
      <c r="J24" s="328"/>
      <c r="K24" s="330">
        <v>98</v>
      </c>
      <c r="L24" s="333">
        <v>91</v>
      </c>
      <c r="M24" s="336">
        <v>82</v>
      </c>
      <c r="N24" s="328"/>
      <c r="O24" s="340">
        <v>1052</v>
      </c>
    </row>
    <row r="25" spans="1:15" x14ac:dyDescent="0.25">
      <c r="A25" s="342">
        <f t="shared" si="0"/>
        <v>44766</v>
      </c>
      <c r="B25" s="357" t="str">
        <f>TEXT(A25,"ddd")</f>
        <v>Sun</v>
      </c>
      <c r="C25" s="323">
        <v>8555.4</v>
      </c>
      <c r="D25" s="323">
        <v>303</v>
      </c>
      <c r="E25" s="323">
        <v>36</v>
      </c>
      <c r="F25" s="323">
        <v>748.83</v>
      </c>
      <c r="G25" s="323">
        <v>0</v>
      </c>
      <c r="H25" s="323">
        <v>145</v>
      </c>
      <c r="I25" s="326">
        <v>0</v>
      </c>
      <c r="J25" s="328"/>
      <c r="K25" s="330">
        <v>98</v>
      </c>
      <c r="L25" s="333">
        <v>90</v>
      </c>
      <c r="M25" s="336">
        <v>81</v>
      </c>
      <c r="N25" s="328"/>
      <c r="O25" s="340">
        <v>679</v>
      </c>
    </row>
    <row r="26" spans="1:15" x14ac:dyDescent="0.25">
      <c r="A26" s="342">
        <f t="shared" si="0"/>
        <v>44767</v>
      </c>
      <c r="B26" s="357" t="str">
        <f>TEXT(A26,"DDD")</f>
        <v>Mon</v>
      </c>
      <c r="C26" s="323">
        <v>9115.4</v>
      </c>
      <c r="D26" s="323">
        <v>409.8</v>
      </c>
      <c r="E26" s="323">
        <v>84</v>
      </c>
      <c r="F26" s="323">
        <v>835.23</v>
      </c>
      <c r="G26" s="323">
        <v>0</v>
      </c>
      <c r="H26" s="323">
        <v>16</v>
      </c>
      <c r="I26" s="326">
        <v>0</v>
      </c>
      <c r="J26" s="328"/>
      <c r="K26" s="330">
        <v>99</v>
      </c>
      <c r="L26" s="333">
        <v>91</v>
      </c>
      <c r="M26" s="336">
        <v>81</v>
      </c>
      <c r="N26" s="328"/>
      <c r="O26" s="340">
        <v>720</v>
      </c>
    </row>
    <row r="27" spans="1:15" x14ac:dyDescent="0.25">
      <c r="A27" s="342">
        <f t="shared" si="0"/>
        <v>44768</v>
      </c>
      <c r="B27" s="357" t="str">
        <f>TEXT(A27,"ddd")</f>
        <v>Tue</v>
      </c>
      <c r="C27" s="323">
        <v>8358.6</v>
      </c>
      <c r="D27" s="323">
        <v>401.4</v>
      </c>
      <c r="E27" s="323">
        <v>193</v>
      </c>
      <c r="F27" s="323">
        <v>669.75</v>
      </c>
      <c r="G27" s="323">
        <v>0</v>
      </c>
      <c r="H27" s="323">
        <v>0</v>
      </c>
      <c r="I27" s="326">
        <v>90</v>
      </c>
      <c r="J27" s="328"/>
      <c r="K27" s="330">
        <v>97</v>
      </c>
      <c r="L27" s="333">
        <v>89</v>
      </c>
      <c r="M27" s="336">
        <v>80</v>
      </c>
      <c r="N27" s="328"/>
      <c r="O27" s="340">
        <v>724</v>
      </c>
    </row>
    <row r="28" spans="1:15" x14ac:dyDescent="0.25">
      <c r="A28" s="342">
        <f t="shared" si="0"/>
        <v>44769</v>
      </c>
      <c r="B28" s="357" t="str">
        <f>TEXT(A28,"DDD")</f>
        <v>Wed</v>
      </c>
      <c r="C28" s="323">
        <v>8365.4</v>
      </c>
      <c r="D28" s="323">
        <v>379.2</v>
      </c>
      <c r="E28" s="323">
        <v>80</v>
      </c>
      <c r="F28" s="323">
        <v>793.92</v>
      </c>
      <c r="G28" s="323">
        <v>0</v>
      </c>
      <c r="H28" s="323">
        <v>0</v>
      </c>
      <c r="I28" s="326">
        <v>0</v>
      </c>
      <c r="J28" s="328"/>
      <c r="K28" s="330">
        <v>98</v>
      </c>
      <c r="L28" s="333">
        <v>86</v>
      </c>
      <c r="M28" s="336">
        <v>79</v>
      </c>
      <c r="N28" s="328"/>
      <c r="O28" s="340">
        <v>721</v>
      </c>
    </row>
    <row r="29" spans="1:15" x14ac:dyDescent="0.25">
      <c r="A29" s="342">
        <f t="shared" si="0"/>
        <v>44770</v>
      </c>
      <c r="B29" s="357" t="str">
        <f>TEXT(A29,"ddd")</f>
        <v>Thu</v>
      </c>
      <c r="C29" s="323">
        <v>7373.6</v>
      </c>
      <c r="D29" s="323">
        <v>343.2</v>
      </c>
      <c r="E29" s="323">
        <v>44</v>
      </c>
      <c r="F29" s="323">
        <v>352.93</v>
      </c>
      <c r="G29" s="323">
        <v>0</v>
      </c>
      <c r="H29" s="323">
        <v>145</v>
      </c>
      <c r="I29" s="326">
        <v>0</v>
      </c>
      <c r="J29" s="328"/>
      <c r="K29" s="330">
        <v>99</v>
      </c>
      <c r="L29" s="333">
        <v>89</v>
      </c>
      <c r="M29" s="336">
        <v>80</v>
      </c>
      <c r="N29" s="328"/>
      <c r="O29" s="340">
        <v>566</v>
      </c>
    </row>
    <row r="30" spans="1:15" x14ac:dyDescent="0.25">
      <c r="A30" s="342">
        <f t="shared" si="0"/>
        <v>44771</v>
      </c>
      <c r="B30" s="357" t="str">
        <f>TEXT(A30,"ddd")</f>
        <v>Fri</v>
      </c>
      <c r="C30" s="323">
        <v>11254</v>
      </c>
      <c r="D30" s="323">
        <v>580.79999999999995</v>
      </c>
      <c r="E30" s="323">
        <v>151</v>
      </c>
      <c r="F30" s="323">
        <v>802.76</v>
      </c>
      <c r="G30" s="323">
        <v>0</v>
      </c>
      <c r="H30" s="323">
        <v>32</v>
      </c>
      <c r="I30" s="326">
        <v>0</v>
      </c>
      <c r="J30" s="328"/>
      <c r="K30" s="330">
        <v>99</v>
      </c>
      <c r="L30" s="333">
        <v>89</v>
      </c>
      <c r="M30" s="336">
        <v>81</v>
      </c>
      <c r="N30" s="328"/>
      <c r="O30" s="340">
        <v>896</v>
      </c>
    </row>
    <row r="31" spans="1:15" x14ac:dyDescent="0.25">
      <c r="A31" s="342">
        <f t="shared" si="0"/>
        <v>44772</v>
      </c>
      <c r="B31" s="357" t="str">
        <f>TEXT(A31,"ddd")</f>
        <v>Sat</v>
      </c>
      <c r="C31" s="323">
        <v>12374.8</v>
      </c>
      <c r="D31" s="323">
        <v>586.20000000000005</v>
      </c>
      <c r="E31" s="323">
        <v>8</v>
      </c>
      <c r="F31" s="323">
        <v>1095.1600000000001</v>
      </c>
      <c r="G31" s="323">
        <v>0</v>
      </c>
      <c r="H31" s="323">
        <v>52.5</v>
      </c>
      <c r="I31" s="326">
        <v>0</v>
      </c>
      <c r="J31" s="328"/>
      <c r="K31" s="330">
        <v>98</v>
      </c>
      <c r="L31" s="333">
        <v>89</v>
      </c>
      <c r="M31" s="336">
        <v>79</v>
      </c>
      <c r="N31" s="328"/>
      <c r="O31" s="340">
        <v>910</v>
      </c>
    </row>
    <row r="32" spans="1:15" ht="15.75" thickBot="1" x14ac:dyDescent="0.3">
      <c r="A32" s="343">
        <f t="shared" si="0"/>
        <v>44773</v>
      </c>
      <c r="B32" s="358" t="str">
        <f>TEXT(A32,"ddd")</f>
        <v>Sun</v>
      </c>
      <c r="C32" s="324">
        <v>10983.8</v>
      </c>
      <c r="D32" s="324">
        <v>417.6</v>
      </c>
      <c r="E32" s="324">
        <v>40</v>
      </c>
      <c r="F32" s="324">
        <v>864.25</v>
      </c>
      <c r="G32" s="324">
        <v>0</v>
      </c>
      <c r="H32" s="324">
        <v>0</v>
      </c>
      <c r="I32" s="327">
        <v>0</v>
      </c>
      <c r="J32" s="328"/>
      <c r="K32" s="331">
        <v>97</v>
      </c>
      <c r="L32" s="334">
        <v>88</v>
      </c>
      <c r="M32" s="338">
        <v>79</v>
      </c>
      <c r="N32" s="328"/>
      <c r="O32" s="341">
        <v>842</v>
      </c>
    </row>
    <row r="33" spans="1:15" ht="15.75" thickBot="1" x14ac:dyDescent="0.3">
      <c r="C33" s="211"/>
      <c r="D33" s="211"/>
      <c r="E33" s="211"/>
      <c r="F33" s="211"/>
      <c r="G33" s="211"/>
      <c r="H33" s="211"/>
      <c r="I33" s="211"/>
    </row>
    <row r="34" spans="1:15" ht="15.75" thickBot="1" x14ac:dyDescent="0.3">
      <c r="A34" s="344" t="s">
        <v>77</v>
      </c>
      <c r="B34" s="345"/>
      <c r="C34" s="346">
        <f t="shared" ref="C34:I34" si="1">SUM(C2:C33)</f>
        <v>324212.99999999994</v>
      </c>
      <c r="D34" s="346">
        <f t="shared" si="1"/>
        <v>15626.999999999998</v>
      </c>
      <c r="E34" s="346">
        <f t="shared" si="1"/>
        <v>2312</v>
      </c>
      <c r="F34" s="346">
        <f t="shared" si="1"/>
        <v>25991.600000000002</v>
      </c>
      <c r="G34" s="346">
        <f t="shared" si="1"/>
        <v>0</v>
      </c>
      <c r="H34" s="346">
        <f t="shared" si="1"/>
        <v>3075.5</v>
      </c>
      <c r="I34" s="347">
        <f t="shared" si="1"/>
        <v>270</v>
      </c>
      <c r="J34" s="60"/>
      <c r="K34" s="348">
        <f>Pool!AJ57</f>
        <v>98</v>
      </c>
      <c r="L34" s="349">
        <f>Pool!AJ58</f>
        <v>88.714285714285708</v>
      </c>
      <c r="M34" s="350">
        <f>Pool!AJ59</f>
        <v>80.142857142857139</v>
      </c>
      <c r="N34" s="102"/>
      <c r="O34" s="351">
        <f>SUM(O2:O33)</f>
        <v>26286</v>
      </c>
    </row>
    <row r="37" spans="1:15" x14ac:dyDescent="0.25">
      <c r="A37" s="352" t="s">
        <v>149</v>
      </c>
      <c r="B37" s="352"/>
      <c r="C37" s="352"/>
      <c r="D37" s="352"/>
      <c r="E37" s="352"/>
    </row>
    <row r="38" spans="1:15" x14ac:dyDescent="0.25">
      <c r="A38" s="352"/>
      <c r="B38" s="352"/>
      <c r="C38" s="352" t="s">
        <v>150</v>
      </c>
      <c r="D38" s="352">
        <v>100</v>
      </c>
      <c r="E38" s="352"/>
    </row>
    <row r="39" spans="1:15" x14ac:dyDescent="0.25">
      <c r="A39" s="352"/>
      <c r="B39" s="353" t="s">
        <v>151</v>
      </c>
      <c r="C39" s="353" t="s">
        <v>152</v>
      </c>
      <c r="D39" s="353">
        <v>-10</v>
      </c>
      <c r="E39" s="352"/>
    </row>
    <row r="40" spans="1:15" x14ac:dyDescent="0.25">
      <c r="A40" s="352"/>
      <c r="B40" s="352"/>
      <c r="C40" s="352"/>
      <c r="D40" s="352">
        <v>90</v>
      </c>
      <c r="E40" s="352"/>
    </row>
    <row r="41" spans="1:15" x14ac:dyDescent="0.25">
      <c r="A41" s="352"/>
      <c r="B41" s="354" t="s">
        <v>153</v>
      </c>
      <c r="C41" s="354" t="s">
        <v>58</v>
      </c>
      <c r="D41" s="354">
        <v>20</v>
      </c>
      <c r="E41" s="352"/>
    </row>
    <row r="42" spans="1:15" x14ac:dyDescent="0.25">
      <c r="A42" s="352"/>
      <c r="B42" s="352"/>
      <c r="C42" s="352"/>
      <c r="D42" s="355">
        <v>110</v>
      </c>
      <c r="E42" s="355" t="s">
        <v>108</v>
      </c>
    </row>
  </sheetData>
  <sheetProtection algorithmName="SHA-512" hashValue="vnxNOtIxFBZQ0LhpRKyJHPfWXkepAgzMN3NB/Bg5mo6m9B6Ulh/XLsht3/8IOWIw/F6O2VC34AoDCKGjn3XT4g==" saltValue="ZnNbsC5pAzH44CEqdoOZw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14"/>
  <sheetViews>
    <sheetView workbookViewId="0">
      <pane xSplit="2" ySplit="2" topLeftCell="R3" activePane="bottomRight" state="frozen"/>
      <selection pane="topRight" activeCell="C1" sqref="C1"/>
      <selection pane="bottomLeft" activeCell="A3" sqref="A3"/>
      <selection pane="bottomRight" activeCell="AB19" sqref="AB19"/>
    </sheetView>
  </sheetViews>
  <sheetFormatPr defaultColWidth="9.140625" defaultRowHeight="15.75" x14ac:dyDescent="0.25"/>
  <cols>
    <col min="1" max="1" width="13.42578125" style="59" bestFit="1" customWidth="1"/>
    <col min="2" max="2" width="33.85546875" style="60" bestFit="1" customWidth="1"/>
    <col min="3" max="5" width="10" style="60" customWidth="1"/>
    <col min="6" max="6" width="10.5703125" style="60" bestFit="1" customWidth="1"/>
    <col min="7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70" t="s">
        <v>225</v>
      </c>
      <c r="B1" s="379" t="str">
        <f>'Cash Flow'!C1</f>
        <v>July</v>
      </c>
      <c r="C1" s="229" t="str">
        <f t="array" ref="C1:AG1">TRANSPOSE('Cash Flow'!B8:B38)</f>
        <v>Fri</v>
      </c>
      <c r="D1" s="229" t="str">
        <v>Sat</v>
      </c>
      <c r="E1" s="229" t="str">
        <v>Sun</v>
      </c>
      <c r="F1" s="229" t="str">
        <v>Mon</v>
      </c>
      <c r="G1" s="229" t="str">
        <v>Tue</v>
      </c>
      <c r="H1" s="229" t="str">
        <v>Wed</v>
      </c>
      <c r="I1" s="229" t="str">
        <v>Thu</v>
      </c>
      <c r="J1" s="229" t="str">
        <v>Fri</v>
      </c>
      <c r="K1" s="229" t="str">
        <v>Sat</v>
      </c>
      <c r="L1" s="229" t="str">
        <v>Sun</v>
      </c>
      <c r="M1" s="229" t="str">
        <v>Mon</v>
      </c>
      <c r="N1" s="229" t="str">
        <v>Tue</v>
      </c>
      <c r="O1" s="229" t="str">
        <v>Wed</v>
      </c>
      <c r="P1" s="229" t="str">
        <v>Thu</v>
      </c>
      <c r="Q1" s="229" t="str">
        <v>Fri</v>
      </c>
      <c r="R1" s="229" t="str">
        <v>Sat</v>
      </c>
      <c r="S1" s="229" t="str">
        <v>Sun</v>
      </c>
      <c r="T1" s="229" t="str">
        <v>Mon</v>
      </c>
      <c r="U1" s="229" t="str">
        <v>Tue</v>
      </c>
      <c r="V1" s="229" t="str">
        <v>Wed</v>
      </c>
      <c r="W1" s="229" t="str">
        <v>Thu</v>
      </c>
      <c r="X1" s="229" t="str">
        <v>Fri</v>
      </c>
      <c r="Y1" s="229" t="str">
        <v>Sat</v>
      </c>
      <c r="Z1" s="229" t="str">
        <v>Sun</v>
      </c>
      <c r="AA1" s="229" t="str">
        <v>Mon</v>
      </c>
      <c r="AB1" s="229" t="str">
        <v>Tue</v>
      </c>
      <c r="AC1" s="229" t="str">
        <v>Wed</v>
      </c>
      <c r="AD1" s="229" t="str">
        <v>Thu</v>
      </c>
      <c r="AE1" s="229" t="str">
        <v>Fri</v>
      </c>
      <c r="AF1" s="229" t="str">
        <v>Sat</v>
      </c>
      <c r="AG1" s="229" t="str">
        <v>Sun</v>
      </c>
    </row>
    <row r="2" spans="1:40" s="60" customFormat="1" ht="16.5" thickBot="1" x14ac:dyDescent="0.3">
      <c r="A2" s="63" t="s">
        <v>67</v>
      </c>
      <c r="B2" s="64" t="s">
        <v>132</v>
      </c>
      <c r="C2" s="106">
        <f>'Cash Flow'!A8</f>
        <v>44743</v>
      </c>
      <c r="D2" s="106">
        <f>C2+1</f>
        <v>44744</v>
      </c>
      <c r="E2" s="106">
        <f>D2+1</f>
        <v>44745</v>
      </c>
      <c r="F2" s="106">
        <f t="shared" ref="F2:AG2" si="0">E2+1</f>
        <v>44746</v>
      </c>
      <c r="G2" s="106">
        <f t="shared" si="0"/>
        <v>44747</v>
      </c>
      <c r="H2" s="106">
        <f t="shared" si="0"/>
        <v>44748</v>
      </c>
      <c r="I2" s="106">
        <f t="shared" si="0"/>
        <v>44749</v>
      </c>
      <c r="J2" s="106">
        <f t="shared" si="0"/>
        <v>44750</v>
      </c>
      <c r="K2" s="106">
        <f t="shared" si="0"/>
        <v>44751</v>
      </c>
      <c r="L2" s="106">
        <f t="shared" si="0"/>
        <v>44752</v>
      </c>
      <c r="M2" s="106">
        <f t="shared" si="0"/>
        <v>44753</v>
      </c>
      <c r="N2" s="106">
        <f t="shared" si="0"/>
        <v>44754</v>
      </c>
      <c r="O2" s="106">
        <f t="shared" si="0"/>
        <v>44755</v>
      </c>
      <c r="P2" s="106">
        <f t="shared" si="0"/>
        <v>44756</v>
      </c>
      <c r="Q2" s="106">
        <f t="shared" si="0"/>
        <v>44757</v>
      </c>
      <c r="R2" s="106">
        <f t="shared" si="0"/>
        <v>44758</v>
      </c>
      <c r="S2" s="106">
        <f t="shared" si="0"/>
        <v>44759</v>
      </c>
      <c r="T2" s="106">
        <f t="shared" si="0"/>
        <v>44760</v>
      </c>
      <c r="U2" s="106">
        <f t="shared" si="0"/>
        <v>44761</v>
      </c>
      <c r="V2" s="106">
        <f t="shared" si="0"/>
        <v>44762</v>
      </c>
      <c r="W2" s="106">
        <f t="shared" si="0"/>
        <v>44763</v>
      </c>
      <c r="X2" s="106">
        <f t="shared" si="0"/>
        <v>44764</v>
      </c>
      <c r="Y2" s="106">
        <f t="shared" si="0"/>
        <v>44765</v>
      </c>
      <c r="Z2" s="106">
        <f t="shared" si="0"/>
        <v>44766</v>
      </c>
      <c r="AA2" s="106">
        <f t="shared" si="0"/>
        <v>44767</v>
      </c>
      <c r="AB2" s="106">
        <f t="shared" si="0"/>
        <v>44768</v>
      </c>
      <c r="AC2" s="106">
        <f t="shared" si="0"/>
        <v>44769</v>
      </c>
      <c r="AD2" s="106">
        <f t="shared" si="0"/>
        <v>44770</v>
      </c>
      <c r="AE2" s="106">
        <f t="shared" si="0"/>
        <v>44771</v>
      </c>
      <c r="AF2" s="106">
        <f t="shared" si="0"/>
        <v>44772</v>
      </c>
      <c r="AG2" s="106">
        <f t="shared" si="0"/>
        <v>44773</v>
      </c>
      <c r="AH2" s="65" t="s">
        <v>59</v>
      </c>
      <c r="AI2" s="62"/>
      <c r="AJ2" s="63" t="s">
        <v>67</v>
      </c>
      <c r="AK2" s="64" t="s">
        <v>132</v>
      </c>
    </row>
    <row r="3" spans="1:40" x14ac:dyDescent="0.25">
      <c r="A3" s="66" t="s">
        <v>61</v>
      </c>
      <c r="B3" s="67" t="s">
        <v>62</v>
      </c>
      <c r="C3" s="68"/>
      <c r="D3" s="185"/>
      <c r="E3" s="185"/>
      <c r="F3" s="185"/>
      <c r="G3" s="185">
        <v>4.83</v>
      </c>
      <c r="H3" s="185">
        <v>2.36</v>
      </c>
      <c r="I3" s="185">
        <v>1.1299999999999999</v>
      </c>
      <c r="J3" s="185">
        <v>11.54</v>
      </c>
      <c r="K3" s="185"/>
      <c r="L3" s="185">
        <v>1.89</v>
      </c>
      <c r="M3" s="185">
        <v>0.56999999999999995</v>
      </c>
      <c r="N3" s="185">
        <v>4.1500000000000004</v>
      </c>
      <c r="O3" s="185">
        <v>1.8</v>
      </c>
      <c r="P3" s="185">
        <v>3.59</v>
      </c>
      <c r="Q3" s="185">
        <v>4.54</v>
      </c>
      <c r="R3" s="185">
        <v>2.27</v>
      </c>
      <c r="S3" s="185">
        <v>4.63</v>
      </c>
      <c r="T3" s="185">
        <v>5.15</v>
      </c>
      <c r="U3" s="185">
        <v>6.52</v>
      </c>
      <c r="V3" s="185">
        <v>2.69</v>
      </c>
      <c r="W3" s="185">
        <v>0.56999999999999995</v>
      </c>
      <c r="X3" s="185">
        <f>5.25-1.61</f>
        <v>3.6399999999999997</v>
      </c>
      <c r="Y3" s="185">
        <v>2.6</v>
      </c>
      <c r="Z3" s="185">
        <v>8.41</v>
      </c>
      <c r="AA3" s="185"/>
      <c r="AB3" s="185">
        <v>5.53</v>
      </c>
      <c r="AC3" s="185">
        <v>3.64</v>
      </c>
      <c r="AD3" s="185">
        <v>13.25</v>
      </c>
      <c r="AE3" s="185">
        <v>9.26</v>
      </c>
      <c r="AF3" s="185">
        <v>0.09</v>
      </c>
      <c r="AG3" s="185">
        <v>0.19</v>
      </c>
      <c r="AH3" s="108">
        <f>SUM(C3:AG3)</f>
        <v>104.84</v>
      </c>
      <c r="AJ3" s="66" t="s">
        <v>61</v>
      </c>
      <c r="AK3" s="67" t="s">
        <v>62</v>
      </c>
      <c r="AL3" s="211"/>
      <c r="AM3" s="211"/>
    </row>
    <row r="4" spans="1:40" ht="16.5" thickBot="1" x14ac:dyDescent="0.3">
      <c r="A4" s="69" t="s">
        <v>224</v>
      </c>
      <c r="B4" s="70" t="s">
        <v>223</v>
      </c>
      <c r="C4" s="71"/>
      <c r="D4" s="72"/>
      <c r="E4" s="71"/>
      <c r="F4" s="71"/>
      <c r="G4" s="71">
        <v>51</v>
      </c>
      <c r="H4" s="71">
        <v>25</v>
      </c>
      <c r="I4" s="71">
        <v>12</v>
      </c>
      <c r="J4" s="71">
        <v>122</v>
      </c>
      <c r="K4" s="71"/>
      <c r="L4" s="71">
        <v>20</v>
      </c>
      <c r="M4" s="71">
        <v>6</v>
      </c>
      <c r="N4" s="71">
        <v>44</v>
      </c>
      <c r="O4" s="71">
        <v>19</v>
      </c>
      <c r="P4" s="71">
        <v>38</v>
      </c>
      <c r="Q4" s="71">
        <v>48</v>
      </c>
      <c r="R4" s="71">
        <v>24</v>
      </c>
      <c r="S4" s="71">
        <v>49</v>
      </c>
      <c r="T4" s="71">
        <v>54.5</v>
      </c>
      <c r="U4" s="71">
        <v>68.95</v>
      </c>
      <c r="V4" s="71">
        <v>28.45</v>
      </c>
      <c r="W4" s="71">
        <v>6</v>
      </c>
      <c r="X4" s="71">
        <f>55.5+1.61</f>
        <v>57.11</v>
      </c>
      <c r="Y4" s="71">
        <v>27.5</v>
      </c>
      <c r="Z4" s="71">
        <v>89</v>
      </c>
      <c r="AA4" s="71"/>
      <c r="AB4" s="71">
        <v>58.5</v>
      </c>
      <c r="AC4" s="71">
        <v>38.5</v>
      </c>
      <c r="AD4" s="71">
        <v>139.9</v>
      </c>
      <c r="AE4" s="71">
        <v>98</v>
      </c>
      <c r="AF4" s="71">
        <v>1</v>
      </c>
      <c r="AG4" s="71">
        <v>2</v>
      </c>
      <c r="AH4" s="108">
        <f t="shared" ref="AH4" si="1">SUM(C4:AG4)</f>
        <v>1127.4100000000001</v>
      </c>
      <c r="AJ4" s="69" t="s">
        <v>224</v>
      </c>
      <c r="AK4" s="70" t="s">
        <v>223</v>
      </c>
      <c r="AL4" s="211"/>
      <c r="AM4" s="211"/>
    </row>
    <row r="5" spans="1:40" s="60" customFormat="1" ht="13.5" thickBot="1" x14ac:dyDescent="0.25">
      <c r="A5" s="200"/>
      <c r="B5" s="84" t="s">
        <v>65</v>
      </c>
      <c r="C5" s="107">
        <f t="shared" ref="C5:AG5" si="2">SUM(C3:C4)</f>
        <v>0</v>
      </c>
      <c r="D5" s="107">
        <f t="shared" si="2"/>
        <v>0</v>
      </c>
      <c r="E5" s="107">
        <f t="shared" si="2"/>
        <v>0</v>
      </c>
      <c r="F5" s="107">
        <f t="shared" si="2"/>
        <v>0</v>
      </c>
      <c r="G5" s="107">
        <f t="shared" si="2"/>
        <v>55.83</v>
      </c>
      <c r="H5" s="107">
        <f t="shared" si="2"/>
        <v>27.36</v>
      </c>
      <c r="I5" s="107">
        <f t="shared" si="2"/>
        <v>13.129999999999999</v>
      </c>
      <c r="J5" s="107">
        <f t="shared" si="2"/>
        <v>133.54</v>
      </c>
      <c r="K5" s="107">
        <f t="shared" si="2"/>
        <v>0</v>
      </c>
      <c r="L5" s="107">
        <f t="shared" si="2"/>
        <v>21.89</v>
      </c>
      <c r="M5" s="107">
        <f t="shared" si="2"/>
        <v>6.57</v>
      </c>
      <c r="N5" s="107">
        <f t="shared" si="2"/>
        <v>48.15</v>
      </c>
      <c r="O5" s="107">
        <f t="shared" si="2"/>
        <v>20.8</v>
      </c>
      <c r="P5" s="107">
        <f t="shared" si="2"/>
        <v>41.59</v>
      </c>
      <c r="Q5" s="107">
        <f t="shared" si="2"/>
        <v>52.54</v>
      </c>
      <c r="R5" s="107">
        <f t="shared" si="2"/>
        <v>26.27</v>
      </c>
      <c r="S5" s="107">
        <f t="shared" si="2"/>
        <v>53.63</v>
      </c>
      <c r="T5" s="107">
        <f t="shared" si="2"/>
        <v>59.65</v>
      </c>
      <c r="U5" s="107">
        <f t="shared" si="2"/>
        <v>75.47</v>
      </c>
      <c r="V5" s="107">
        <f t="shared" si="2"/>
        <v>31.14</v>
      </c>
      <c r="W5" s="107">
        <f t="shared" si="2"/>
        <v>6.57</v>
      </c>
      <c r="X5" s="107">
        <f t="shared" si="2"/>
        <v>60.75</v>
      </c>
      <c r="Y5" s="107">
        <f t="shared" si="2"/>
        <v>30.1</v>
      </c>
      <c r="Z5" s="107">
        <f t="shared" si="2"/>
        <v>97.41</v>
      </c>
      <c r="AA5" s="107">
        <f t="shared" si="2"/>
        <v>0</v>
      </c>
      <c r="AB5" s="107">
        <f t="shared" si="2"/>
        <v>64.03</v>
      </c>
      <c r="AC5" s="107">
        <f t="shared" si="2"/>
        <v>42.14</v>
      </c>
      <c r="AD5" s="107">
        <f t="shared" si="2"/>
        <v>153.15</v>
      </c>
      <c r="AE5" s="107">
        <f t="shared" si="2"/>
        <v>107.26</v>
      </c>
      <c r="AF5" s="107">
        <f t="shared" si="2"/>
        <v>1.0900000000000001</v>
      </c>
      <c r="AG5" s="107">
        <f t="shared" si="2"/>
        <v>2.19</v>
      </c>
      <c r="AH5" s="109">
        <f>SUM(C3:AG4)</f>
        <v>1232.2500000000002</v>
      </c>
      <c r="AI5" s="85"/>
      <c r="AJ5" s="276"/>
      <c r="AK5" s="277" t="s">
        <v>65</v>
      </c>
    </row>
    <row r="6" spans="1:40" ht="16.5" thickBot="1" x14ac:dyDescent="0.3">
      <c r="A6" s="196"/>
      <c r="B6" s="197"/>
      <c r="C6" s="198"/>
      <c r="D6" s="197"/>
      <c r="E6" s="197"/>
      <c r="F6" s="197"/>
      <c r="G6" s="197"/>
      <c r="H6" s="279"/>
      <c r="I6" s="197"/>
      <c r="J6" s="197"/>
      <c r="K6" s="197"/>
      <c r="L6" s="197"/>
      <c r="M6" s="197"/>
      <c r="N6" s="197"/>
      <c r="O6" s="197"/>
      <c r="P6" s="197"/>
      <c r="Q6" s="197"/>
      <c r="R6" s="264"/>
      <c r="S6" s="197"/>
      <c r="T6" s="197"/>
      <c r="U6" s="197"/>
      <c r="V6" s="197"/>
      <c r="W6" s="197"/>
      <c r="X6" s="197"/>
      <c r="Y6" s="198"/>
      <c r="Z6" s="197"/>
      <c r="AA6" s="197"/>
      <c r="AB6" s="197"/>
      <c r="AC6" s="197"/>
      <c r="AD6" s="197"/>
      <c r="AE6" s="197"/>
      <c r="AF6" s="197"/>
      <c r="AG6" s="197"/>
      <c r="AH6" s="199"/>
      <c r="AJ6" s="283" t="s">
        <v>67</v>
      </c>
      <c r="AK6" s="284" t="s">
        <v>132</v>
      </c>
      <c r="AL6" s="284" t="s">
        <v>124</v>
      </c>
      <c r="AM6" s="285" t="s">
        <v>125</v>
      </c>
    </row>
    <row r="7" spans="1:40" x14ac:dyDescent="0.25">
      <c r="A7" s="89" t="s">
        <v>60</v>
      </c>
      <c r="B7" s="84" t="s">
        <v>54</v>
      </c>
      <c r="C7" s="394"/>
      <c r="D7" s="394"/>
      <c r="E7" s="394"/>
      <c r="F7" s="394"/>
      <c r="G7" s="394"/>
      <c r="H7" s="394"/>
      <c r="I7" s="394"/>
      <c r="J7" s="394"/>
      <c r="K7" s="394"/>
      <c r="L7" s="394"/>
      <c r="M7" s="394">
        <v>6.57</v>
      </c>
      <c r="N7" s="394">
        <v>12.03</v>
      </c>
      <c r="O7" s="394"/>
      <c r="P7" s="394"/>
      <c r="Q7" s="394"/>
      <c r="R7" s="394">
        <v>26.27</v>
      </c>
      <c r="S7" s="394">
        <v>13.14</v>
      </c>
      <c r="T7" s="394">
        <v>59.65</v>
      </c>
      <c r="U7" s="394"/>
      <c r="V7" s="394">
        <v>2.19</v>
      </c>
      <c r="W7" s="394"/>
      <c r="X7" s="394">
        <v>28.46</v>
      </c>
      <c r="Y7" s="394">
        <v>27.91</v>
      </c>
      <c r="Z7" s="394">
        <v>14.23</v>
      </c>
      <c r="AA7" s="394"/>
      <c r="AB7" s="394">
        <v>21.89</v>
      </c>
      <c r="AC7" s="394"/>
      <c r="AD7" s="394">
        <v>93.06</v>
      </c>
      <c r="AE7" s="395"/>
      <c r="AF7" s="395">
        <v>1.0900000000000001</v>
      </c>
      <c r="AG7" s="395">
        <v>2.19</v>
      </c>
      <c r="AH7" s="110">
        <f>SUM(C7:AG7)</f>
        <v>308.67999999999995</v>
      </c>
      <c r="AJ7" s="137" t="s">
        <v>60</v>
      </c>
      <c r="AK7" s="138" t="s">
        <v>226</v>
      </c>
      <c r="AL7" s="388">
        <f>SUM(C7:AD7)</f>
        <v>305.39999999999998</v>
      </c>
      <c r="AM7" s="389">
        <f>SUM(AE7:AG7)</f>
        <v>3.2800000000000002</v>
      </c>
    </row>
    <row r="8" spans="1:40" ht="16.5" thickBot="1" x14ac:dyDescent="0.3">
      <c r="A8" s="90" t="s">
        <v>60</v>
      </c>
      <c r="B8" s="91" t="s">
        <v>55</v>
      </c>
      <c r="C8" s="391"/>
      <c r="D8" s="391"/>
      <c r="E8" s="391"/>
      <c r="F8" s="391"/>
      <c r="G8" s="393">
        <v>55.83</v>
      </c>
      <c r="H8" s="393">
        <v>27.36</v>
      </c>
      <c r="I8" s="393">
        <v>13.13</v>
      </c>
      <c r="J8" s="393">
        <v>133.54</v>
      </c>
      <c r="K8" s="393"/>
      <c r="L8" s="393">
        <v>21.89</v>
      </c>
      <c r="M8" s="393"/>
      <c r="N8" s="393">
        <v>36.119999999999997</v>
      </c>
      <c r="O8" s="393">
        <v>20.8</v>
      </c>
      <c r="P8" s="393">
        <v>41.59</v>
      </c>
      <c r="Q8" s="393">
        <v>52.54</v>
      </c>
      <c r="R8" s="393"/>
      <c r="S8" s="393">
        <v>40.49</v>
      </c>
      <c r="T8" s="393"/>
      <c r="U8" s="393">
        <v>75.47</v>
      </c>
      <c r="V8" s="393">
        <v>28.95</v>
      </c>
      <c r="W8" s="393">
        <v>6.57</v>
      </c>
      <c r="X8" s="393">
        <v>32.29</v>
      </c>
      <c r="Y8" s="393">
        <v>2.19</v>
      </c>
      <c r="Z8" s="393">
        <v>83.18</v>
      </c>
      <c r="AA8" s="393"/>
      <c r="AB8" s="393">
        <v>42.14</v>
      </c>
      <c r="AC8" s="393">
        <v>42.14</v>
      </c>
      <c r="AD8" s="393">
        <v>60.09</v>
      </c>
      <c r="AE8" s="393">
        <v>107.26</v>
      </c>
      <c r="AF8" s="393"/>
      <c r="AG8" s="393"/>
      <c r="AH8" s="111">
        <f t="shared" ref="AH8" si="3">SUM(C8:AG8)</f>
        <v>923.57</v>
      </c>
      <c r="AJ8" s="129" t="s">
        <v>60</v>
      </c>
      <c r="AK8" s="130" t="s">
        <v>227</v>
      </c>
      <c r="AL8" s="291"/>
      <c r="AM8" s="292">
        <f>SUM(C8:AG8)-AM13</f>
        <v>895.83</v>
      </c>
    </row>
    <row r="9" spans="1:40" ht="16.5" thickBot="1" x14ac:dyDescent="0.3">
      <c r="A9" s="203"/>
      <c r="B9" s="194" t="s">
        <v>66</v>
      </c>
      <c r="C9" s="107">
        <f t="shared" ref="C9:AG9" si="4">SUM(C7:C8)</f>
        <v>0</v>
      </c>
      <c r="D9" s="107">
        <f t="shared" si="4"/>
        <v>0</v>
      </c>
      <c r="E9" s="107">
        <f t="shared" si="4"/>
        <v>0</v>
      </c>
      <c r="F9" s="107">
        <f t="shared" si="4"/>
        <v>0</v>
      </c>
      <c r="G9" s="107">
        <f t="shared" si="4"/>
        <v>55.83</v>
      </c>
      <c r="H9" s="107">
        <f t="shared" si="4"/>
        <v>27.36</v>
      </c>
      <c r="I9" s="107">
        <f t="shared" si="4"/>
        <v>13.13</v>
      </c>
      <c r="J9" s="107">
        <f t="shared" si="4"/>
        <v>133.54</v>
      </c>
      <c r="K9" s="107">
        <f t="shared" si="4"/>
        <v>0</v>
      </c>
      <c r="L9" s="107">
        <f t="shared" si="4"/>
        <v>21.89</v>
      </c>
      <c r="M9" s="107">
        <f t="shared" si="4"/>
        <v>6.57</v>
      </c>
      <c r="N9" s="107">
        <f t="shared" si="4"/>
        <v>48.15</v>
      </c>
      <c r="O9" s="107">
        <f t="shared" si="4"/>
        <v>20.8</v>
      </c>
      <c r="P9" s="107">
        <f t="shared" si="4"/>
        <v>41.59</v>
      </c>
      <c r="Q9" s="107">
        <f t="shared" si="4"/>
        <v>52.54</v>
      </c>
      <c r="R9" s="107">
        <f t="shared" si="4"/>
        <v>26.27</v>
      </c>
      <c r="S9" s="107">
        <f t="shared" si="4"/>
        <v>53.63</v>
      </c>
      <c r="T9" s="107">
        <f t="shared" si="4"/>
        <v>59.65</v>
      </c>
      <c r="U9" s="107">
        <f t="shared" si="4"/>
        <v>75.47</v>
      </c>
      <c r="V9" s="107">
        <f t="shared" si="4"/>
        <v>31.14</v>
      </c>
      <c r="W9" s="107">
        <f t="shared" si="4"/>
        <v>6.57</v>
      </c>
      <c r="X9" s="107">
        <f t="shared" si="4"/>
        <v>60.75</v>
      </c>
      <c r="Y9" s="107">
        <f t="shared" si="4"/>
        <v>30.1</v>
      </c>
      <c r="Z9" s="107">
        <f t="shared" si="4"/>
        <v>97.410000000000011</v>
      </c>
      <c r="AA9" s="107">
        <f t="shared" si="4"/>
        <v>0</v>
      </c>
      <c r="AB9" s="107">
        <f t="shared" si="4"/>
        <v>64.03</v>
      </c>
      <c r="AC9" s="107">
        <f t="shared" si="4"/>
        <v>42.14</v>
      </c>
      <c r="AD9" s="107">
        <f t="shared" si="4"/>
        <v>153.15</v>
      </c>
      <c r="AE9" s="107">
        <f t="shared" si="4"/>
        <v>107.26</v>
      </c>
      <c r="AF9" s="107">
        <f t="shared" si="4"/>
        <v>1.0900000000000001</v>
      </c>
      <c r="AG9" s="107">
        <f t="shared" si="4"/>
        <v>2.19</v>
      </c>
      <c r="AH9" s="110">
        <f>SUM(C9:AG9)</f>
        <v>1232.25</v>
      </c>
      <c r="AI9" s="59"/>
      <c r="AJ9" s="490" t="s">
        <v>77</v>
      </c>
      <c r="AK9" s="491"/>
      <c r="AL9" s="492">
        <f>SUM(AL7:AM8)</f>
        <v>1204.51</v>
      </c>
      <c r="AM9" s="493"/>
      <c r="AN9" s="274">
        <f>AL9-AH9+AL13+AM13</f>
        <v>0</v>
      </c>
    </row>
    <row r="10" spans="1:40" ht="16.5" thickBot="1" x14ac:dyDescent="0.3">
      <c r="A10" s="95"/>
      <c r="B10" s="96"/>
      <c r="C10" s="97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8"/>
      <c r="AJ10" s="269"/>
      <c r="AK10" s="269"/>
      <c r="AL10" s="99"/>
      <c r="AM10" s="191"/>
      <c r="AN10" s="193"/>
    </row>
    <row r="11" spans="1:40" s="99" customFormat="1" ht="16.5" thickBot="1" x14ac:dyDescent="0.3">
      <c r="A11" s="276" t="s">
        <v>237</v>
      </c>
      <c r="B11" s="101" t="s">
        <v>33</v>
      </c>
      <c r="C11" s="114">
        <f t="shared" ref="C11:AG11" si="5">SUM(C3:C4)-SUM(C7:C8)</f>
        <v>0</v>
      </c>
      <c r="D11" s="114">
        <f t="shared" si="5"/>
        <v>0</v>
      </c>
      <c r="E11" s="114">
        <f t="shared" si="5"/>
        <v>0</v>
      </c>
      <c r="F11" s="114">
        <f t="shared" si="5"/>
        <v>0</v>
      </c>
      <c r="G11" s="114">
        <f t="shared" si="5"/>
        <v>0</v>
      </c>
      <c r="H11" s="114">
        <f t="shared" si="5"/>
        <v>0</v>
      </c>
      <c r="I11" s="114">
        <f t="shared" si="5"/>
        <v>0</v>
      </c>
      <c r="J11" s="114">
        <f t="shared" si="5"/>
        <v>0</v>
      </c>
      <c r="K11" s="114">
        <f t="shared" si="5"/>
        <v>0</v>
      </c>
      <c r="L11" s="114">
        <f t="shared" si="5"/>
        <v>0</v>
      </c>
      <c r="M11" s="114">
        <f t="shared" si="5"/>
        <v>0</v>
      </c>
      <c r="N11" s="114">
        <f t="shared" si="5"/>
        <v>0</v>
      </c>
      <c r="O11" s="114">
        <f t="shared" si="5"/>
        <v>0</v>
      </c>
      <c r="P11" s="114">
        <f t="shared" si="5"/>
        <v>0</v>
      </c>
      <c r="Q11" s="114">
        <f t="shared" si="5"/>
        <v>0</v>
      </c>
      <c r="R11" s="114">
        <f t="shared" si="5"/>
        <v>0</v>
      </c>
      <c r="S11" s="114">
        <f t="shared" si="5"/>
        <v>0</v>
      </c>
      <c r="T11" s="114">
        <f t="shared" si="5"/>
        <v>0</v>
      </c>
      <c r="U11" s="114">
        <f t="shared" si="5"/>
        <v>0</v>
      </c>
      <c r="V11" s="114">
        <f t="shared" si="5"/>
        <v>0</v>
      </c>
      <c r="W11" s="114">
        <f t="shared" si="5"/>
        <v>0</v>
      </c>
      <c r="X11" s="114">
        <f t="shared" si="5"/>
        <v>0</v>
      </c>
      <c r="Y11" s="114">
        <f t="shared" si="5"/>
        <v>0</v>
      </c>
      <c r="Z11" s="114">
        <f t="shared" si="5"/>
        <v>0</v>
      </c>
      <c r="AA11" s="114">
        <f t="shared" si="5"/>
        <v>0</v>
      </c>
      <c r="AB11" s="114">
        <f t="shared" si="5"/>
        <v>0</v>
      </c>
      <c r="AC11" s="114">
        <f t="shared" si="5"/>
        <v>0</v>
      </c>
      <c r="AD11" s="114">
        <f t="shared" si="5"/>
        <v>0</v>
      </c>
      <c r="AE11" s="114">
        <f t="shared" si="5"/>
        <v>0</v>
      </c>
      <c r="AF11" s="114">
        <f t="shared" si="5"/>
        <v>0</v>
      </c>
      <c r="AG11" s="114">
        <f t="shared" si="5"/>
        <v>0</v>
      </c>
      <c r="AH11" s="115">
        <f>SUM(C11:AG11)</f>
        <v>0</v>
      </c>
      <c r="AI11" s="62"/>
      <c r="AJ11" s="474" t="s">
        <v>237</v>
      </c>
      <c r="AK11" s="213" t="s">
        <v>228</v>
      </c>
      <c r="AL11" s="272">
        <f>AH11</f>
        <v>0</v>
      </c>
      <c r="AM11" s="273"/>
      <c r="AN11" s="275" t="s">
        <v>130</v>
      </c>
    </row>
    <row r="12" spans="1:40" s="102" customFormat="1" ht="16.5" thickBot="1" x14ac:dyDescent="0.3">
      <c r="A12" s="225"/>
      <c r="B12" s="226"/>
      <c r="C12" s="226"/>
      <c r="D12" s="226"/>
      <c r="E12" s="226"/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6"/>
      <c r="AB12" s="226"/>
      <c r="AC12" s="226"/>
      <c r="AD12" s="226"/>
      <c r="AE12" s="226"/>
      <c r="AF12" s="226"/>
      <c r="AG12" s="226"/>
      <c r="AH12" s="227"/>
      <c r="AI12" s="62"/>
      <c r="AJ12" s="475"/>
      <c r="AK12" s="226"/>
      <c r="AL12" s="99"/>
      <c r="AM12" s="102">
        <f>AL9+AL11+AM11+AL13+AM13</f>
        <v>1232.25</v>
      </c>
      <c r="AN12" s="102">
        <f>AM12-AH5</f>
        <v>0</v>
      </c>
    </row>
    <row r="13" spans="1:40" s="99" customFormat="1" ht="16.5" thickBot="1" x14ac:dyDescent="0.3">
      <c r="A13" s="474" t="s">
        <v>236</v>
      </c>
      <c r="B13" s="101" t="s">
        <v>204</v>
      </c>
      <c r="C13" s="471"/>
      <c r="D13" s="471"/>
      <c r="E13" s="471"/>
      <c r="F13" s="471"/>
      <c r="G13" s="471">
        <v>1.67</v>
      </c>
      <c r="H13" s="471">
        <v>0.82</v>
      </c>
      <c r="I13" s="471">
        <v>0.39</v>
      </c>
      <c r="J13" s="471">
        <v>4</v>
      </c>
      <c r="K13" s="471"/>
      <c r="L13" s="471">
        <v>0.66</v>
      </c>
      <c r="M13" s="471">
        <v>0</v>
      </c>
      <c r="N13" s="471">
        <v>1.08</v>
      </c>
      <c r="O13" s="471">
        <v>0.63</v>
      </c>
      <c r="P13" s="471">
        <v>1.25</v>
      </c>
      <c r="Q13" s="471">
        <v>1.58</v>
      </c>
      <c r="R13" s="471">
        <v>0</v>
      </c>
      <c r="S13" s="471">
        <v>1.21</v>
      </c>
      <c r="T13" s="471">
        <v>0</v>
      </c>
      <c r="U13" s="471">
        <v>2.27</v>
      </c>
      <c r="V13" s="471">
        <v>0.87</v>
      </c>
      <c r="W13" s="471">
        <v>0.2</v>
      </c>
      <c r="X13" s="471">
        <v>0.97</v>
      </c>
      <c r="Y13" s="471">
        <v>7.0000000000000007E-2</v>
      </c>
      <c r="Z13" s="471">
        <v>2.5</v>
      </c>
      <c r="AA13" s="471"/>
      <c r="AB13" s="471">
        <v>1.27</v>
      </c>
      <c r="AC13" s="471">
        <v>1.27</v>
      </c>
      <c r="AD13" s="471">
        <v>1.81</v>
      </c>
      <c r="AE13" s="471">
        <v>3.22</v>
      </c>
      <c r="AF13" s="471">
        <v>0</v>
      </c>
      <c r="AG13" s="472">
        <v>0</v>
      </c>
      <c r="AH13" s="473">
        <f t="shared" ref="AH13" si="6">SUM(C13:AG13)</f>
        <v>27.74</v>
      </c>
      <c r="AI13" s="62"/>
      <c r="AJ13" s="474" t="s">
        <v>236</v>
      </c>
      <c r="AK13" s="213" t="s">
        <v>206</v>
      </c>
      <c r="AL13" s="272"/>
      <c r="AM13" s="273">
        <f>SUM(C13:AG13)</f>
        <v>27.74</v>
      </c>
      <c r="AN13" s="275"/>
    </row>
    <row r="14" spans="1:40" s="102" customFormat="1" x14ac:dyDescent="0.25">
      <c r="A14" s="225"/>
      <c r="B14" s="226"/>
      <c r="C14" s="226"/>
      <c r="D14" s="226"/>
      <c r="E14" s="226"/>
      <c r="F14" s="226"/>
      <c r="G14" s="226"/>
      <c r="H14" s="226"/>
      <c r="I14" s="226"/>
      <c r="J14" s="226"/>
      <c r="K14" s="226"/>
      <c r="L14" s="226"/>
      <c r="M14" s="226"/>
      <c r="N14" s="22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226"/>
      <c r="AD14" s="226"/>
      <c r="AE14" s="226"/>
      <c r="AF14" s="226"/>
      <c r="AG14" s="226"/>
      <c r="AH14" s="227"/>
      <c r="AI14" s="62"/>
      <c r="AJ14" s="225"/>
      <c r="AK14" s="226"/>
      <c r="AL14" s="99"/>
    </row>
  </sheetData>
  <sheetProtection formatCells="0" formatColumns="0" formatRows="0" insertColumns="0" insertRows="0" insertHyperlinks="0" deleteColumns="0" deleteRows="0" sort="0" autoFilter="0" pivotTables="0"/>
  <mergeCells count="2">
    <mergeCell ref="AJ9:AK9"/>
    <mergeCell ref="AL9:AM9"/>
  </mergeCells>
  <conditionalFormatting sqref="C11:AG11">
    <cfRule type="cellIs" dxfId="5" priority="8" operator="notEqual">
      <formula>0</formula>
    </cfRule>
  </conditionalFormatting>
  <conditionalFormatting sqref="C11:AG11">
    <cfRule type="cellIs" dxfId="4" priority="7" operator="notEqual">
      <formula>0</formula>
    </cfRule>
  </conditionalFormatting>
  <conditionalFormatting sqref="AN9">
    <cfRule type="cellIs" dxfId="3" priority="1" operator="lessThan">
      <formula>0</formula>
    </cfRule>
    <cfRule type="cellIs" dxfId="2" priority="2" operator="greaterThan">
      <formula>0</formula>
    </cfRule>
  </conditionalFormatting>
  <pageMargins left="0" right="0" top="0.75" bottom="0.75" header="0.3" footer="0.3"/>
  <pageSetup paperSize="17" scale="57" orientation="landscape" verticalDpi="300" r:id="rId1"/>
  <headerFooter>
    <oddFooter>&amp;L&amp;8&amp;Z&amp;F&amp;R&amp;8&amp;A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tabSelected="1" workbookViewId="0">
      <pane xSplit="2" ySplit="2" topLeftCell="T6" activePane="bottomRight" state="frozen"/>
      <selection pane="topRight" activeCell="C1" sqref="C1"/>
      <selection pane="bottomLeft" activeCell="A3" sqref="A3"/>
      <selection pane="bottomRight" activeCell="AB30" sqref="AB30"/>
    </sheetView>
  </sheetViews>
  <sheetFormatPr defaultColWidth="9.140625"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2" width="9.5703125" style="59" bestFit="1" customWidth="1"/>
    <col min="33" max="33" width="10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40" width="11.28515625" style="59" bestFit="1" customWidth="1"/>
    <col min="41" max="16384" width="9.140625" style="59"/>
  </cols>
  <sheetData>
    <row r="1" spans="1:37" ht="15.75" thickBot="1" x14ac:dyDescent="0.3">
      <c r="A1" s="170" t="s">
        <v>119</v>
      </c>
      <c r="B1" s="286" t="str">
        <f>'Cash Flow'!C1</f>
        <v>July</v>
      </c>
      <c r="C1" s="229" t="str">
        <f t="array" ref="C1:AG1">TRANSPOSE('Cash Flow'!B8:B38)</f>
        <v>Fri</v>
      </c>
      <c r="D1" s="229" t="str">
        <v>Sat</v>
      </c>
      <c r="E1" s="229" t="str">
        <v>Sun</v>
      </c>
      <c r="F1" s="229" t="str">
        <v>Mon</v>
      </c>
      <c r="G1" s="229" t="str">
        <v>Tue</v>
      </c>
      <c r="H1" s="229" t="str">
        <v>Wed</v>
      </c>
      <c r="I1" s="229" t="str">
        <v>Thu</v>
      </c>
      <c r="J1" s="229" t="str">
        <v>Fri</v>
      </c>
      <c r="K1" s="229" t="str">
        <v>Sat</v>
      </c>
      <c r="L1" s="229" t="str">
        <v>Sun</v>
      </c>
      <c r="M1" s="229" t="str">
        <v>Mon</v>
      </c>
      <c r="N1" s="229" t="str">
        <v>Tue</v>
      </c>
      <c r="O1" s="229" t="str">
        <v>Wed</v>
      </c>
      <c r="P1" s="229" t="str">
        <v>Thu</v>
      </c>
      <c r="Q1" s="229" t="str">
        <v>Fri</v>
      </c>
      <c r="R1" s="229" t="str">
        <v>Sat</v>
      </c>
      <c r="S1" s="229" t="str">
        <v>Sun</v>
      </c>
      <c r="T1" s="229" t="str">
        <v>Mon</v>
      </c>
      <c r="U1" s="229" t="str">
        <v>Tue</v>
      </c>
      <c r="V1" s="229" t="str">
        <v>Wed</v>
      </c>
      <c r="W1" s="229" t="str">
        <v>Thu</v>
      </c>
      <c r="X1" s="229" t="str">
        <v>Fri</v>
      </c>
      <c r="Y1" s="229" t="str">
        <v>Sat</v>
      </c>
      <c r="Z1" s="229" t="str">
        <v>Sun</v>
      </c>
      <c r="AA1" s="229" t="str">
        <v>Mon</v>
      </c>
      <c r="AB1" s="229" t="str">
        <v>Tue</v>
      </c>
      <c r="AC1" s="229" t="str">
        <v>Wed</v>
      </c>
      <c r="AD1" s="229" t="str">
        <v>Thu</v>
      </c>
      <c r="AE1" s="229" t="str">
        <v>Fri</v>
      </c>
      <c r="AF1" s="229" t="str">
        <v>Sat</v>
      </c>
      <c r="AG1" s="229" t="str">
        <v>Sun</v>
      </c>
    </row>
    <row r="2" spans="1:37" ht="16.5" thickBot="1" x14ac:dyDescent="0.3">
      <c r="A2" s="117" t="s">
        <v>67</v>
      </c>
      <c r="B2" s="118" t="s">
        <v>132</v>
      </c>
      <c r="C2" s="106">
        <f>'Cash Flow'!A8</f>
        <v>44743</v>
      </c>
      <c r="D2" s="106">
        <f t="shared" ref="D2:AG2" si="0">C2+1</f>
        <v>44744</v>
      </c>
      <c r="E2" s="106">
        <f t="shared" si="0"/>
        <v>44745</v>
      </c>
      <c r="F2" s="106">
        <f t="shared" si="0"/>
        <v>44746</v>
      </c>
      <c r="G2" s="106">
        <f t="shared" si="0"/>
        <v>44747</v>
      </c>
      <c r="H2" s="106">
        <f t="shared" si="0"/>
        <v>44748</v>
      </c>
      <c r="I2" s="106">
        <f t="shared" si="0"/>
        <v>44749</v>
      </c>
      <c r="J2" s="106">
        <f t="shared" si="0"/>
        <v>44750</v>
      </c>
      <c r="K2" s="106">
        <f t="shared" si="0"/>
        <v>44751</v>
      </c>
      <c r="L2" s="106">
        <f t="shared" si="0"/>
        <v>44752</v>
      </c>
      <c r="M2" s="106">
        <f t="shared" si="0"/>
        <v>44753</v>
      </c>
      <c r="N2" s="106">
        <f t="shared" si="0"/>
        <v>44754</v>
      </c>
      <c r="O2" s="106">
        <f t="shared" si="0"/>
        <v>44755</v>
      </c>
      <c r="P2" s="106">
        <f t="shared" si="0"/>
        <v>44756</v>
      </c>
      <c r="Q2" s="106">
        <f t="shared" si="0"/>
        <v>44757</v>
      </c>
      <c r="R2" s="106">
        <f t="shared" si="0"/>
        <v>44758</v>
      </c>
      <c r="S2" s="106">
        <f t="shared" si="0"/>
        <v>44759</v>
      </c>
      <c r="T2" s="106">
        <f t="shared" si="0"/>
        <v>44760</v>
      </c>
      <c r="U2" s="106">
        <f t="shared" si="0"/>
        <v>44761</v>
      </c>
      <c r="V2" s="106">
        <f t="shared" si="0"/>
        <v>44762</v>
      </c>
      <c r="W2" s="106">
        <f t="shared" si="0"/>
        <v>44763</v>
      </c>
      <c r="X2" s="106">
        <f t="shared" si="0"/>
        <v>44764</v>
      </c>
      <c r="Y2" s="106">
        <f t="shared" si="0"/>
        <v>44765</v>
      </c>
      <c r="Z2" s="106">
        <f t="shared" si="0"/>
        <v>44766</v>
      </c>
      <c r="AA2" s="106">
        <f t="shared" si="0"/>
        <v>44767</v>
      </c>
      <c r="AB2" s="106">
        <f t="shared" si="0"/>
        <v>44768</v>
      </c>
      <c r="AC2" s="106">
        <f t="shared" si="0"/>
        <v>44769</v>
      </c>
      <c r="AD2" s="106">
        <f t="shared" si="0"/>
        <v>44770</v>
      </c>
      <c r="AE2" s="106">
        <f t="shared" si="0"/>
        <v>44771</v>
      </c>
      <c r="AF2" s="106">
        <f t="shared" si="0"/>
        <v>44772</v>
      </c>
      <c r="AG2" s="106">
        <f t="shared" si="0"/>
        <v>44773</v>
      </c>
      <c r="AH2" s="119" t="s">
        <v>59</v>
      </c>
      <c r="AJ2" s="63" t="s">
        <v>67</v>
      </c>
      <c r="AK2" s="64" t="s">
        <v>132</v>
      </c>
    </row>
    <row r="3" spans="1:37" ht="15.75" x14ac:dyDescent="0.25">
      <c r="A3" s="120" t="s">
        <v>61</v>
      </c>
      <c r="B3" s="121" t="s">
        <v>84</v>
      </c>
      <c r="C3" s="113">
        <v>11.94</v>
      </c>
      <c r="D3" s="113">
        <v>20.67</v>
      </c>
      <c r="E3" s="113">
        <v>18.559999999999999</v>
      </c>
      <c r="F3" s="113">
        <v>17.399999999999999</v>
      </c>
      <c r="G3" s="113">
        <v>11.25</v>
      </c>
      <c r="H3" s="113">
        <v>21.14</v>
      </c>
      <c r="I3" s="113">
        <v>18.350000000000001</v>
      </c>
      <c r="J3" s="113">
        <v>40.090000000000003</v>
      </c>
      <c r="K3" s="113">
        <v>13.48</v>
      </c>
      <c r="L3" s="113">
        <v>13.72</v>
      </c>
      <c r="M3" s="113">
        <v>13.15</v>
      </c>
      <c r="N3" s="113">
        <v>20.97</v>
      </c>
      <c r="O3" s="113">
        <v>28.7</v>
      </c>
      <c r="P3" s="113">
        <v>18.63</v>
      </c>
      <c r="Q3" s="113">
        <v>34.15</v>
      </c>
      <c r="R3" s="113">
        <v>37.9</v>
      </c>
      <c r="S3" s="113">
        <v>25.81</v>
      </c>
      <c r="T3" s="113">
        <f>16.59-0.47</f>
        <v>16.12</v>
      </c>
      <c r="U3" s="113">
        <v>14.36</v>
      </c>
      <c r="V3" s="113">
        <v>16.59</v>
      </c>
      <c r="W3" s="113">
        <v>11.93</v>
      </c>
      <c r="X3" s="113">
        <v>19.52</v>
      </c>
      <c r="Y3" s="113">
        <v>11.09</v>
      </c>
      <c r="Z3" s="113">
        <v>30.45</v>
      </c>
      <c r="AA3" s="113">
        <v>11.09</v>
      </c>
      <c r="AB3" s="113">
        <v>16.61</v>
      </c>
      <c r="AC3" s="113">
        <v>12.75</v>
      </c>
      <c r="AD3" s="113">
        <v>19.96</v>
      </c>
      <c r="AE3" s="113">
        <v>8.6999999999999993</v>
      </c>
      <c r="AF3" s="113">
        <v>19.760000000000002</v>
      </c>
      <c r="AG3" s="113">
        <v>21.51</v>
      </c>
      <c r="AH3" s="108">
        <f t="shared" ref="AH3:AH15" si="1">SUM(C3:AG3)</f>
        <v>596.34999999999991</v>
      </c>
      <c r="AJ3" s="160" t="s">
        <v>61</v>
      </c>
      <c r="AK3" s="161" t="s">
        <v>84</v>
      </c>
    </row>
    <row r="4" spans="1:37" ht="15.75" x14ac:dyDescent="0.25">
      <c r="A4" s="122" t="s">
        <v>70</v>
      </c>
      <c r="B4" s="123" t="s">
        <v>71</v>
      </c>
      <c r="C4" s="124">
        <v>1389</v>
      </c>
      <c r="D4" s="124">
        <v>2111</v>
      </c>
      <c r="E4" s="124">
        <v>2540</v>
      </c>
      <c r="F4" s="124">
        <v>2013</v>
      </c>
      <c r="G4" s="124">
        <f>1459-16</f>
        <v>1443</v>
      </c>
      <c r="H4" s="124">
        <v>1853</v>
      </c>
      <c r="I4" s="124">
        <v>1829</v>
      </c>
      <c r="J4" s="124">
        <v>1846</v>
      </c>
      <c r="K4" s="124">
        <v>2096</v>
      </c>
      <c r="L4" s="124">
        <v>1318</v>
      </c>
      <c r="M4" s="124">
        <v>1528</v>
      </c>
      <c r="N4" s="124">
        <v>1627</v>
      </c>
      <c r="O4" s="124">
        <v>1669</v>
      </c>
      <c r="P4" s="124">
        <v>1789</v>
      </c>
      <c r="Q4" s="124">
        <v>1803</v>
      </c>
      <c r="R4" s="124">
        <v>2272</v>
      </c>
      <c r="S4" s="124">
        <v>2192</v>
      </c>
      <c r="T4" s="124">
        <v>1571</v>
      </c>
      <c r="U4" s="124">
        <v>1616</v>
      </c>
      <c r="V4" s="124">
        <v>1891</v>
      </c>
      <c r="W4" s="124">
        <v>1659</v>
      </c>
      <c r="X4" s="124">
        <v>1560</v>
      </c>
      <c r="Y4" s="124">
        <f>1782-5</f>
        <v>1777</v>
      </c>
      <c r="Z4" s="124">
        <v>1487</v>
      </c>
      <c r="AA4" s="124">
        <v>1223</v>
      </c>
      <c r="AB4" s="124">
        <v>1621</v>
      </c>
      <c r="AC4" s="124">
        <v>1530</v>
      </c>
      <c r="AD4" s="124">
        <v>1351</v>
      </c>
      <c r="AE4" s="124">
        <v>834</v>
      </c>
      <c r="AF4" s="124">
        <v>1600</v>
      </c>
      <c r="AG4" s="124">
        <v>1777</v>
      </c>
      <c r="AH4" s="108">
        <f t="shared" si="1"/>
        <v>52815</v>
      </c>
      <c r="AJ4" s="162" t="s">
        <v>70</v>
      </c>
      <c r="AK4" s="163" t="s">
        <v>71</v>
      </c>
    </row>
    <row r="5" spans="1:37" ht="15.75" x14ac:dyDescent="0.25">
      <c r="A5" s="122" t="s">
        <v>81</v>
      </c>
      <c r="B5" s="123" t="s">
        <v>83</v>
      </c>
      <c r="C5" s="125">
        <v>31.01</v>
      </c>
      <c r="D5" s="125"/>
      <c r="E5" s="125"/>
      <c r="F5" s="125"/>
      <c r="G5" s="125">
        <v>3.01</v>
      </c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08">
        <f t="shared" si="1"/>
        <v>34.020000000000003</v>
      </c>
      <c r="AJ5" s="162" t="s">
        <v>81</v>
      </c>
      <c r="AK5" s="163" t="s">
        <v>83</v>
      </c>
    </row>
    <row r="6" spans="1:37" ht="15.75" x14ac:dyDescent="0.25">
      <c r="A6" s="122" t="s">
        <v>80</v>
      </c>
      <c r="B6" s="123" t="s">
        <v>212</v>
      </c>
      <c r="C6" s="125">
        <v>126.34</v>
      </c>
      <c r="D6" s="125">
        <v>218.65</v>
      </c>
      <c r="E6" s="125">
        <v>196.64</v>
      </c>
      <c r="F6" s="125">
        <v>178.4</v>
      </c>
      <c r="G6" s="125">
        <v>119.15</v>
      </c>
      <c r="H6" s="125">
        <v>216.42</v>
      </c>
      <c r="I6" s="125">
        <v>194.25</v>
      </c>
      <c r="J6" s="125">
        <v>424.37</v>
      </c>
      <c r="K6" s="125">
        <v>142.19999999999999</v>
      </c>
      <c r="L6" s="125">
        <v>145.07</v>
      </c>
      <c r="M6" s="125">
        <v>138.86000000000001</v>
      </c>
      <c r="N6" s="125">
        <v>222.09</v>
      </c>
      <c r="O6" s="125">
        <v>303.64</v>
      </c>
      <c r="P6" s="125">
        <v>197.13</v>
      </c>
      <c r="Q6" s="125">
        <v>361.43</v>
      </c>
      <c r="R6" s="125">
        <v>401.04</v>
      </c>
      <c r="S6" s="125">
        <v>273.10000000000002</v>
      </c>
      <c r="T6" s="125">
        <f>175.61-4.99</f>
        <v>170.62</v>
      </c>
      <c r="U6" s="125">
        <v>151.06</v>
      </c>
      <c r="V6" s="125">
        <v>175.49</v>
      </c>
      <c r="W6" s="125">
        <v>126.16</v>
      </c>
      <c r="X6" s="125">
        <v>206.86</v>
      </c>
      <c r="Y6" s="125">
        <v>117.57</v>
      </c>
      <c r="Z6" s="125">
        <v>322.32</v>
      </c>
      <c r="AA6" s="125">
        <v>117.34</v>
      </c>
      <c r="AB6" s="125">
        <v>176.09</v>
      </c>
      <c r="AC6" s="125">
        <v>135.12</v>
      </c>
      <c r="AD6" s="125">
        <v>206.62</v>
      </c>
      <c r="AE6" s="125">
        <v>92.16</v>
      </c>
      <c r="AF6" s="125">
        <v>209.24</v>
      </c>
      <c r="AG6" s="125">
        <v>227.55</v>
      </c>
      <c r="AH6" s="108">
        <f t="shared" si="1"/>
        <v>6292.9799999999987</v>
      </c>
      <c r="AJ6" s="162" t="s">
        <v>80</v>
      </c>
      <c r="AK6" s="163" t="s">
        <v>212</v>
      </c>
    </row>
    <row r="7" spans="1:37" ht="15.75" x14ac:dyDescent="0.25">
      <c r="A7" s="122" t="s">
        <v>80</v>
      </c>
      <c r="B7" s="123" t="s">
        <v>82</v>
      </c>
      <c r="C7" s="125">
        <v>1.2</v>
      </c>
      <c r="D7" s="125"/>
      <c r="E7" s="125"/>
      <c r="F7" s="125">
        <v>2.4</v>
      </c>
      <c r="G7" s="125"/>
      <c r="H7" s="125">
        <v>0.4</v>
      </c>
      <c r="I7" s="125"/>
      <c r="J7" s="125"/>
      <c r="K7" s="125">
        <v>2.4</v>
      </c>
      <c r="L7" s="125"/>
      <c r="M7" s="125"/>
      <c r="N7" s="125">
        <v>4.2</v>
      </c>
      <c r="O7" s="125">
        <v>0.44</v>
      </c>
      <c r="P7" s="125"/>
      <c r="Q7" s="125">
        <v>0.44</v>
      </c>
      <c r="R7" s="125"/>
      <c r="S7" s="125"/>
      <c r="T7" s="125"/>
      <c r="U7" s="125"/>
      <c r="V7" s="125">
        <v>5.44</v>
      </c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08">
        <f t="shared" si="1"/>
        <v>16.919999999999998</v>
      </c>
      <c r="AJ7" s="162" t="s">
        <v>80</v>
      </c>
      <c r="AK7" s="163" t="s">
        <v>82</v>
      </c>
    </row>
    <row r="8" spans="1:37" ht="16.5" thickBot="1" x14ac:dyDescent="0.3">
      <c r="A8" s="437"/>
      <c r="B8" s="436" t="s">
        <v>196</v>
      </c>
      <c r="C8" s="435">
        <f t="shared" ref="C8:AG8" si="2">SUM(C3:C7)</f>
        <v>1559.49</v>
      </c>
      <c r="D8" s="435">
        <f t="shared" si="2"/>
        <v>2350.3200000000002</v>
      </c>
      <c r="E8" s="435">
        <f t="shared" si="2"/>
        <v>2755.2</v>
      </c>
      <c r="F8" s="435">
        <f t="shared" si="2"/>
        <v>2211.2000000000003</v>
      </c>
      <c r="G8" s="435">
        <f t="shared" si="2"/>
        <v>1576.41</v>
      </c>
      <c r="H8" s="435">
        <f t="shared" si="2"/>
        <v>2090.96</v>
      </c>
      <c r="I8" s="435">
        <f t="shared" si="2"/>
        <v>2041.6</v>
      </c>
      <c r="J8" s="435">
        <f t="shared" si="2"/>
        <v>2310.46</v>
      </c>
      <c r="K8" s="435">
        <f t="shared" si="2"/>
        <v>2254.08</v>
      </c>
      <c r="L8" s="435">
        <f t="shared" si="2"/>
        <v>1476.79</v>
      </c>
      <c r="M8" s="435">
        <f t="shared" si="2"/>
        <v>1680.0100000000002</v>
      </c>
      <c r="N8" s="435">
        <f t="shared" si="2"/>
        <v>1874.26</v>
      </c>
      <c r="O8" s="435">
        <f t="shared" si="2"/>
        <v>2001.7800000000002</v>
      </c>
      <c r="P8" s="435">
        <f t="shared" si="2"/>
        <v>2004.7600000000002</v>
      </c>
      <c r="Q8" s="435">
        <f t="shared" si="2"/>
        <v>2199.02</v>
      </c>
      <c r="R8" s="435">
        <f t="shared" si="2"/>
        <v>2710.94</v>
      </c>
      <c r="S8" s="435">
        <f t="shared" si="2"/>
        <v>2490.91</v>
      </c>
      <c r="T8" s="435">
        <f t="shared" si="2"/>
        <v>1757.7399999999998</v>
      </c>
      <c r="U8" s="435">
        <f t="shared" si="2"/>
        <v>1781.4199999999998</v>
      </c>
      <c r="V8" s="435">
        <f t="shared" si="2"/>
        <v>2088.52</v>
      </c>
      <c r="W8" s="435">
        <f t="shared" si="2"/>
        <v>1797.0900000000001</v>
      </c>
      <c r="X8" s="435">
        <f t="shared" si="2"/>
        <v>1786.38</v>
      </c>
      <c r="Y8" s="435">
        <f t="shared" si="2"/>
        <v>1905.6599999999999</v>
      </c>
      <c r="Z8" s="435">
        <f t="shared" si="2"/>
        <v>1839.77</v>
      </c>
      <c r="AA8" s="435">
        <f t="shared" si="2"/>
        <v>1351.4299999999998</v>
      </c>
      <c r="AB8" s="435">
        <f t="shared" si="2"/>
        <v>1813.6999999999998</v>
      </c>
      <c r="AC8" s="435">
        <f t="shared" si="2"/>
        <v>1677.87</v>
      </c>
      <c r="AD8" s="435">
        <f t="shared" si="2"/>
        <v>1577.58</v>
      </c>
      <c r="AE8" s="435">
        <f t="shared" si="2"/>
        <v>934.86</v>
      </c>
      <c r="AF8" s="435">
        <f t="shared" si="2"/>
        <v>1829</v>
      </c>
      <c r="AG8" s="435">
        <f t="shared" si="2"/>
        <v>2026.06</v>
      </c>
      <c r="AH8" s="434">
        <f t="shared" si="1"/>
        <v>59755.269999999982</v>
      </c>
      <c r="AJ8" s="162"/>
      <c r="AK8" s="163"/>
    </row>
    <row r="9" spans="1:37" ht="15.75" x14ac:dyDescent="0.25">
      <c r="A9" s="433" t="s">
        <v>61</v>
      </c>
      <c r="B9" s="432" t="s">
        <v>84</v>
      </c>
      <c r="C9" s="431">
        <v>2.8</v>
      </c>
      <c r="D9" s="107">
        <v>12.01</v>
      </c>
      <c r="E9" s="430">
        <v>17.079999999999998</v>
      </c>
      <c r="F9" s="430">
        <v>16.95</v>
      </c>
      <c r="G9" s="430">
        <v>12.29</v>
      </c>
      <c r="H9" s="430">
        <v>14.01</v>
      </c>
      <c r="I9" s="430">
        <v>29.02</v>
      </c>
      <c r="J9" s="430">
        <v>20.420000000000002</v>
      </c>
      <c r="K9" s="430">
        <v>13.13</v>
      </c>
      <c r="L9" s="430">
        <v>8.23</v>
      </c>
      <c r="M9" s="430">
        <v>17.97</v>
      </c>
      <c r="N9" s="430">
        <v>8.36</v>
      </c>
      <c r="O9" s="430">
        <v>12.38</v>
      </c>
      <c r="P9" s="430">
        <v>25.54</v>
      </c>
      <c r="Q9" s="430">
        <v>3.43</v>
      </c>
      <c r="R9" s="430">
        <v>28.16</v>
      </c>
      <c r="S9" s="430">
        <v>13.26</v>
      </c>
      <c r="T9" s="430">
        <v>20.29</v>
      </c>
      <c r="U9" s="430">
        <v>21.1</v>
      </c>
      <c r="V9" s="430">
        <v>12.2</v>
      </c>
      <c r="W9" s="430">
        <v>16.28</v>
      </c>
      <c r="X9" s="430">
        <v>15.6</v>
      </c>
      <c r="Y9" s="430">
        <v>6.57</v>
      </c>
      <c r="Z9" s="430">
        <v>11.2</v>
      </c>
      <c r="AA9" s="430">
        <v>17.46</v>
      </c>
      <c r="AB9" s="430">
        <v>9.15</v>
      </c>
      <c r="AC9" s="430">
        <v>9.27</v>
      </c>
      <c r="AD9" s="430">
        <v>3.43</v>
      </c>
      <c r="AE9" s="430">
        <v>10.63</v>
      </c>
      <c r="AF9" s="430">
        <v>15.82</v>
      </c>
      <c r="AG9" s="430">
        <v>10.48</v>
      </c>
      <c r="AH9" s="429">
        <f t="shared" si="1"/>
        <v>434.51999999999992</v>
      </c>
      <c r="AJ9" s="427"/>
      <c r="AK9" s="426"/>
    </row>
    <row r="10" spans="1:37" ht="15.75" x14ac:dyDescent="0.25">
      <c r="A10" s="122" t="s">
        <v>70</v>
      </c>
      <c r="B10" s="123" t="s">
        <v>71</v>
      </c>
      <c r="C10" s="428">
        <v>1018</v>
      </c>
      <c r="D10" s="125">
        <v>1278</v>
      </c>
      <c r="E10" s="153">
        <v>2125</v>
      </c>
      <c r="F10" s="153">
        <v>1370</v>
      </c>
      <c r="G10" s="153">
        <v>1039</v>
      </c>
      <c r="H10" s="153">
        <v>1011</v>
      </c>
      <c r="I10" s="153">
        <v>1382</v>
      </c>
      <c r="J10" s="153">
        <v>1062</v>
      </c>
      <c r="K10" s="153">
        <v>1097</v>
      </c>
      <c r="L10" s="153">
        <v>885</v>
      </c>
      <c r="M10" s="153">
        <v>1173</v>
      </c>
      <c r="N10" s="153">
        <v>962</v>
      </c>
      <c r="O10" s="153">
        <v>910</v>
      </c>
      <c r="P10" s="153">
        <v>1016</v>
      </c>
      <c r="Q10" s="153">
        <v>738</v>
      </c>
      <c r="R10" s="153">
        <v>1124</v>
      </c>
      <c r="S10" s="153">
        <v>738</v>
      </c>
      <c r="T10" s="153">
        <v>1259</v>
      </c>
      <c r="U10" s="153">
        <v>1414</v>
      </c>
      <c r="V10" s="153">
        <v>1268</v>
      </c>
      <c r="W10" s="153">
        <v>1125</v>
      </c>
      <c r="X10" s="153">
        <v>1221</v>
      </c>
      <c r="Y10" s="153">
        <v>1126</v>
      </c>
      <c r="Z10" s="153">
        <v>1020</v>
      </c>
      <c r="AA10" s="153">
        <v>1218</v>
      </c>
      <c r="AB10" s="153">
        <v>901</v>
      </c>
      <c r="AC10" s="153">
        <v>878</v>
      </c>
      <c r="AD10" s="153">
        <v>806</v>
      </c>
      <c r="AE10" s="153">
        <v>1603</v>
      </c>
      <c r="AF10" s="153">
        <v>1117</v>
      </c>
      <c r="AG10" s="153">
        <v>1015</v>
      </c>
      <c r="AH10" s="423">
        <f t="shared" si="1"/>
        <v>34899</v>
      </c>
      <c r="AJ10" s="427"/>
      <c r="AK10" s="426"/>
    </row>
    <row r="11" spans="1:37" ht="15.75" x14ac:dyDescent="0.25">
      <c r="A11" s="122" t="s">
        <v>81</v>
      </c>
      <c r="B11" s="123" t="s">
        <v>83</v>
      </c>
      <c r="C11" s="428"/>
      <c r="D11" s="125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>
        <v>0.01</v>
      </c>
      <c r="AA11" s="153"/>
      <c r="AB11" s="153"/>
      <c r="AC11" s="153"/>
      <c r="AD11" s="153"/>
      <c r="AE11" s="153">
        <v>996.09</v>
      </c>
      <c r="AF11" s="153"/>
      <c r="AG11" s="153"/>
      <c r="AH11" s="423">
        <f t="shared" si="1"/>
        <v>996.1</v>
      </c>
      <c r="AJ11" s="427"/>
      <c r="AK11" s="426"/>
    </row>
    <row r="12" spans="1:37" ht="15.75" x14ac:dyDescent="0.25">
      <c r="A12" s="122" t="s">
        <v>80</v>
      </c>
      <c r="B12" s="123" t="s">
        <v>212</v>
      </c>
      <c r="C12" s="428">
        <v>29.71</v>
      </c>
      <c r="D12" s="125">
        <v>126.51</v>
      </c>
      <c r="E12" s="153">
        <v>180.42</v>
      </c>
      <c r="F12" s="153">
        <v>179.32</v>
      </c>
      <c r="G12" s="153">
        <v>129.51</v>
      </c>
      <c r="H12" s="153">
        <v>148.13999999999999</v>
      </c>
      <c r="I12" s="153">
        <v>306.97000000000003</v>
      </c>
      <c r="J12" s="153">
        <v>216.04</v>
      </c>
      <c r="K12" s="153">
        <v>136.15</v>
      </c>
      <c r="L12" s="153">
        <v>87.23</v>
      </c>
      <c r="M12" s="153">
        <v>189.85</v>
      </c>
      <c r="N12" s="153">
        <v>83.03</v>
      </c>
      <c r="O12" s="153">
        <v>131.33000000000001</v>
      </c>
      <c r="P12" s="153">
        <v>270.43</v>
      </c>
      <c r="Q12" s="153">
        <v>36.369999999999997</v>
      </c>
      <c r="R12" s="153">
        <v>297.94</v>
      </c>
      <c r="S12" s="153">
        <v>140.43</v>
      </c>
      <c r="T12" s="153">
        <v>206.99</v>
      </c>
      <c r="U12" s="153">
        <v>222.88</v>
      </c>
      <c r="V12" s="153">
        <v>128.94999999999999</v>
      </c>
      <c r="W12" s="153">
        <v>172.35</v>
      </c>
      <c r="X12" s="153">
        <v>164.65</v>
      </c>
      <c r="Y12" s="153">
        <v>69.16</v>
      </c>
      <c r="Z12" s="153">
        <v>118.37</v>
      </c>
      <c r="AA12" s="153">
        <v>184.38</v>
      </c>
      <c r="AB12" s="153">
        <v>96.63</v>
      </c>
      <c r="AC12" s="153">
        <v>98.17</v>
      </c>
      <c r="AD12" s="153">
        <v>36.08</v>
      </c>
      <c r="AE12" s="153">
        <v>112.82</v>
      </c>
      <c r="AF12" s="153">
        <v>166.59</v>
      </c>
      <c r="AG12" s="153">
        <v>111.05</v>
      </c>
      <c r="AH12" s="423">
        <f t="shared" si="1"/>
        <v>4578.45</v>
      </c>
      <c r="AJ12" s="427"/>
      <c r="AK12" s="426"/>
    </row>
    <row r="13" spans="1:37" ht="15.75" x14ac:dyDescent="0.25">
      <c r="A13" s="122" t="s">
        <v>80</v>
      </c>
      <c r="B13" s="123" t="s">
        <v>82</v>
      </c>
      <c r="C13" s="428"/>
      <c r="D13" s="125"/>
      <c r="E13" s="153">
        <v>6.6</v>
      </c>
      <c r="F13" s="153"/>
      <c r="G13" s="153"/>
      <c r="H13" s="153"/>
      <c r="I13" s="153">
        <v>2.4</v>
      </c>
      <c r="J13" s="153"/>
      <c r="K13" s="153">
        <v>0.4</v>
      </c>
      <c r="L13" s="153"/>
      <c r="M13" s="153">
        <v>3.08</v>
      </c>
      <c r="N13" s="153"/>
      <c r="O13" s="153"/>
      <c r="P13" s="153"/>
      <c r="Q13" s="153"/>
      <c r="R13" s="153">
        <v>2.2000000000000002</v>
      </c>
      <c r="S13" s="153"/>
      <c r="T13" s="153">
        <v>1.32</v>
      </c>
      <c r="U13" s="153"/>
      <c r="V13" s="153"/>
      <c r="W13" s="153"/>
      <c r="X13" s="153"/>
      <c r="Y13" s="153">
        <v>0.44</v>
      </c>
      <c r="Z13" s="153"/>
      <c r="AA13" s="153"/>
      <c r="AB13" s="153"/>
      <c r="AC13" s="153"/>
      <c r="AD13" s="153"/>
      <c r="AE13" s="153"/>
      <c r="AF13" s="153">
        <v>3.08</v>
      </c>
      <c r="AG13" s="153"/>
      <c r="AH13" s="423">
        <f t="shared" si="1"/>
        <v>19.520000000000003</v>
      </c>
      <c r="AJ13" s="427"/>
      <c r="AK13" s="426"/>
    </row>
    <row r="14" spans="1:37" ht="16.5" thickBot="1" x14ac:dyDescent="0.3">
      <c r="A14" s="132"/>
      <c r="B14" s="425" t="s">
        <v>195</v>
      </c>
      <c r="C14" s="424">
        <f t="shared" ref="C14:AG14" si="3">SUM(C9:C13)</f>
        <v>1050.51</v>
      </c>
      <c r="D14" s="424">
        <f t="shared" si="3"/>
        <v>1416.52</v>
      </c>
      <c r="E14" s="424">
        <f t="shared" si="3"/>
        <v>2329.1</v>
      </c>
      <c r="F14" s="424">
        <f t="shared" si="3"/>
        <v>1566.27</v>
      </c>
      <c r="G14" s="424">
        <f t="shared" si="3"/>
        <v>1180.8</v>
      </c>
      <c r="H14" s="424">
        <f t="shared" si="3"/>
        <v>1173.1500000000001</v>
      </c>
      <c r="I14" s="424">
        <f t="shared" si="3"/>
        <v>1720.39</v>
      </c>
      <c r="J14" s="424">
        <f t="shared" si="3"/>
        <v>1298.46</v>
      </c>
      <c r="K14" s="424">
        <f t="shared" si="3"/>
        <v>1246.6800000000003</v>
      </c>
      <c r="L14" s="424">
        <f t="shared" si="3"/>
        <v>980.46</v>
      </c>
      <c r="M14" s="424">
        <f t="shared" si="3"/>
        <v>1383.8999999999999</v>
      </c>
      <c r="N14" s="424">
        <f t="shared" si="3"/>
        <v>1053.3900000000001</v>
      </c>
      <c r="O14" s="424">
        <f t="shared" si="3"/>
        <v>1053.71</v>
      </c>
      <c r="P14" s="424">
        <f t="shared" si="3"/>
        <v>1311.97</v>
      </c>
      <c r="Q14" s="424">
        <f t="shared" si="3"/>
        <v>777.8</v>
      </c>
      <c r="R14" s="424">
        <f t="shared" si="3"/>
        <v>1452.3000000000002</v>
      </c>
      <c r="S14" s="424">
        <f t="shared" si="3"/>
        <v>891.69</v>
      </c>
      <c r="T14" s="424">
        <f t="shared" si="3"/>
        <v>1487.6</v>
      </c>
      <c r="U14" s="424">
        <f t="shared" si="3"/>
        <v>1657.98</v>
      </c>
      <c r="V14" s="424">
        <f t="shared" si="3"/>
        <v>1409.15</v>
      </c>
      <c r="W14" s="424">
        <f t="shared" si="3"/>
        <v>1313.6299999999999</v>
      </c>
      <c r="X14" s="424">
        <f t="shared" si="3"/>
        <v>1401.25</v>
      </c>
      <c r="Y14" s="424">
        <f t="shared" si="3"/>
        <v>1202.17</v>
      </c>
      <c r="Z14" s="424">
        <f t="shared" si="3"/>
        <v>1149.58</v>
      </c>
      <c r="AA14" s="424">
        <f t="shared" si="3"/>
        <v>1419.8400000000001</v>
      </c>
      <c r="AB14" s="424">
        <f t="shared" si="3"/>
        <v>1006.78</v>
      </c>
      <c r="AC14" s="424">
        <f t="shared" si="3"/>
        <v>985.43999999999994</v>
      </c>
      <c r="AD14" s="424">
        <f t="shared" si="3"/>
        <v>845.51</v>
      </c>
      <c r="AE14" s="424">
        <f t="shared" si="3"/>
        <v>2722.5400000000004</v>
      </c>
      <c r="AF14" s="424">
        <f t="shared" si="3"/>
        <v>1302.4899999999998</v>
      </c>
      <c r="AG14" s="424">
        <f t="shared" si="3"/>
        <v>1136.53</v>
      </c>
      <c r="AH14" s="423">
        <f t="shared" si="1"/>
        <v>40927.590000000004</v>
      </c>
      <c r="AJ14" s="77"/>
      <c r="AK14" s="78"/>
    </row>
    <row r="15" spans="1:37" x14ac:dyDescent="0.25">
      <c r="A15" s="134"/>
      <c r="B15" s="417" t="s">
        <v>65</v>
      </c>
      <c r="C15" s="416">
        <f t="shared" ref="C15:AG15" si="4">SUM(C3:C7,C9:C13)</f>
        <v>2610</v>
      </c>
      <c r="D15" s="416">
        <f t="shared" si="4"/>
        <v>3766.8400000000006</v>
      </c>
      <c r="E15" s="416">
        <f t="shared" si="4"/>
        <v>5084.3</v>
      </c>
      <c r="F15" s="416">
        <f t="shared" si="4"/>
        <v>3777.4700000000003</v>
      </c>
      <c r="G15" s="416">
        <f t="shared" si="4"/>
        <v>2757.21</v>
      </c>
      <c r="H15" s="416">
        <f t="shared" si="4"/>
        <v>3264.11</v>
      </c>
      <c r="I15" s="416">
        <f t="shared" si="4"/>
        <v>3761.9900000000002</v>
      </c>
      <c r="J15" s="416">
        <f t="shared" si="4"/>
        <v>3608.92</v>
      </c>
      <c r="K15" s="416">
        <f t="shared" si="4"/>
        <v>3500.76</v>
      </c>
      <c r="L15" s="416">
        <f t="shared" si="4"/>
        <v>2457.25</v>
      </c>
      <c r="M15" s="416">
        <f t="shared" si="4"/>
        <v>3063.9100000000003</v>
      </c>
      <c r="N15" s="416">
        <f t="shared" si="4"/>
        <v>2927.65</v>
      </c>
      <c r="O15" s="416">
        <f t="shared" si="4"/>
        <v>3055.4900000000002</v>
      </c>
      <c r="P15" s="416">
        <f t="shared" si="4"/>
        <v>3316.73</v>
      </c>
      <c r="Q15" s="416">
        <f t="shared" si="4"/>
        <v>2976.8199999999997</v>
      </c>
      <c r="R15" s="416">
        <f t="shared" si="4"/>
        <v>4163.24</v>
      </c>
      <c r="S15" s="416">
        <f t="shared" si="4"/>
        <v>3382.6</v>
      </c>
      <c r="T15" s="416">
        <f t="shared" si="4"/>
        <v>3245.3399999999997</v>
      </c>
      <c r="U15" s="416">
        <f t="shared" si="4"/>
        <v>3439.3999999999996</v>
      </c>
      <c r="V15" s="416">
        <f t="shared" si="4"/>
        <v>3497.6699999999996</v>
      </c>
      <c r="W15" s="416">
        <f t="shared" si="4"/>
        <v>3110.72</v>
      </c>
      <c r="X15" s="416">
        <f t="shared" si="4"/>
        <v>3187.63</v>
      </c>
      <c r="Y15" s="416">
        <f t="shared" si="4"/>
        <v>3107.8299999999995</v>
      </c>
      <c r="Z15" s="416">
        <f t="shared" si="4"/>
        <v>2989.3500000000004</v>
      </c>
      <c r="AA15" s="416">
        <f t="shared" si="4"/>
        <v>2771.27</v>
      </c>
      <c r="AB15" s="416">
        <f t="shared" si="4"/>
        <v>2820.48</v>
      </c>
      <c r="AC15" s="416">
        <f t="shared" si="4"/>
        <v>2663.31</v>
      </c>
      <c r="AD15" s="416">
        <f t="shared" si="4"/>
        <v>2423.09</v>
      </c>
      <c r="AE15" s="416">
        <f t="shared" si="4"/>
        <v>3657.4</v>
      </c>
      <c r="AF15" s="416">
        <f t="shared" si="4"/>
        <v>3131.49</v>
      </c>
      <c r="AG15" s="416">
        <f t="shared" si="4"/>
        <v>3162.59</v>
      </c>
      <c r="AH15" s="109">
        <f t="shared" si="1"/>
        <v>100682.86000000002</v>
      </c>
      <c r="AJ15" s="83"/>
      <c r="AK15" s="84" t="s">
        <v>65</v>
      </c>
    </row>
    <row r="16" spans="1:37" ht="15.75" thickBot="1" x14ac:dyDescent="0.3">
      <c r="A16" s="287"/>
      <c r="B16" s="288"/>
      <c r="C16" s="289"/>
      <c r="D16" s="289"/>
      <c r="E16" s="289"/>
      <c r="F16" s="289"/>
      <c r="G16" s="289"/>
      <c r="H16" s="289"/>
      <c r="I16" s="289"/>
      <c r="J16" s="289"/>
      <c r="K16" s="289"/>
      <c r="L16" s="289"/>
      <c r="M16" s="289"/>
      <c r="N16" s="289"/>
      <c r="O16" s="289"/>
      <c r="P16" s="289"/>
      <c r="Q16" s="289"/>
      <c r="R16" s="289"/>
      <c r="S16" s="289"/>
      <c r="T16" s="289"/>
      <c r="U16" s="289"/>
      <c r="V16" s="289"/>
      <c r="W16" s="289"/>
      <c r="X16" s="289"/>
      <c r="Y16" s="289"/>
      <c r="Z16" s="289"/>
      <c r="AA16" s="289"/>
      <c r="AB16" s="289"/>
      <c r="AC16" s="289"/>
      <c r="AD16" s="289"/>
      <c r="AE16" s="289"/>
      <c r="AF16" s="289"/>
      <c r="AG16" s="289"/>
      <c r="AH16" s="290"/>
      <c r="AJ16" s="191"/>
      <c r="AK16" s="191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22"/>
      <c r="AJ17" s="501" t="s">
        <v>131</v>
      </c>
      <c r="AK17" s="502"/>
      <c r="AL17" s="502"/>
      <c r="AM17" s="503"/>
    </row>
    <row r="18" spans="1:40" ht="16.5" thickBot="1" x14ac:dyDescent="0.3">
      <c r="A18" s="368" t="str">
        <f>'[1]TEMP Summary'!A12</f>
        <v>01-00-1000</v>
      </c>
      <c r="B18" s="456" t="s">
        <v>194</v>
      </c>
      <c r="C18" s="438">
        <v>749.55</v>
      </c>
      <c r="D18" s="439">
        <v>937.78</v>
      </c>
      <c r="E18" s="439">
        <v>1022</v>
      </c>
      <c r="F18" s="439">
        <v>951.51</v>
      </c>
      <c r="G18" s="439">
        <v>500.4</v>
      </c>
      <c r="H18" s="439">
        <v>983.68</v>
      </c>
      <c r="I18" s="439">
        <v>695.13</v>
      </c>
      <c r="J18" s="439">
        <v>667.91</v>
      </c>
      <c r="K18" s="439">
        <v>1016.41</v>
      </c>
      <c r="L18" s="439">
        <v>694</v>
      </c>
      <c r="M18" s="439">
        <v>601.70000000000005</v>
      </c>
      <c r="N18" s="439">
        <v>788.39</v>
      </c>
      <c r="O18" s="439">
        <v>816.42</v>
      </c>
      <c r="P18" s="439">
        <v>946.72</v>
      </c>
      <c r="Q18" s="439">
        <v>938.56</v>
      </c>
      <c r="R18" s="439">
        <v>1496.68</v>
      </c>
      <c r="S18" s="439">
        <v>968.73</v>
      </c>
      <c r="T18" s="107">
        <v>863.92</v>
      </c>
      <c r="U18" s="107">
        <v>758.36</v>
      </c>
      <c r="V18" s="107">
        <v>865.29</v>
      </c>
      <c r="W18" s="107">
        <v>745.18</v>
      </c>
      <c r="X18" s="107">
        <v>800.6</v>
      </c>
      <c r="Y18" s="107">
        <v>837.57</v>
      </c>
      <c r="Z18" s="107">
        <v>649.91999999999996</v>
      </c>
      <c r="AA18" s="107">
        <v>614.78</v>
      </c>
      <c r="AB18" s="107">
        <v>821.81</v>
      </c>
      <c r="AC18" s="107">
        <v>650.37</v>
      </c>
      <c r="AD18" s="107">
        <v>845.65</v>
      </c>
      <c r="AE18" s="477">
        <v>360.08</v>
      </c>
      <c r="AF18" s="477">
        <v>973.65</v>
      </c>
      <c r="AG18" s="479">
        <v>812.19</v>
      </c>
      <c r="AH18" s="421">
        <f t="shared" ref="AH18:AH24" si="5">SUM(C18:AG18)</f>
        <v>25374.94</v>
      </c>
      <c r="AJ18" s="283" t="s">
        <v>67</v>
      </c>
      <c r="AK18" s="284" t="s">
        <v>132</v>
      </c>
      <c r="AL18" s="284" t="s">
        <v>124</v>
      </c>
      <c r="AM18" s="285" t="s">
        <v>125</v>
      </c>
    </row>
    <row r="19" spans="1:40" ht="16.5" thickBot="1" x14ac:dyDescent="0.3">
      <c r="A19" s="369" t="str">
        <f>'[1]TEMP Summary'!A13</f>
        <v>01-00-1000</v>
      </c>
      <c r="B19" s="457" t="s">
        <v>193</v>
      </c>
      <c r="C19" s="440">
        <v>423.68</v>
      </c>
      <c r="D19" s="441">
        <v>600.62</v>
      </c>
      <c r="E19" s="441">
        <v>956.1</v>
      </c>
      <c r="F19" s="441">
        <v>642.73</v>
      </c>
      <c r="G19" s="441">
        <v>326.33</v>
      </c>
      <c r="H19" s="441">
        <v>467.14</v>
      </c>
      <c r="I19" s="441">
        <v>810.6</v>
      </c>
      <c r="J19" s="441">
        <v>472.25</v>
      </c>
      <c r="K19" s="441">
        <v>477.63</v>
      </c>
      <c r="L19" s="441">
        <v>413.42</v>
      </c>
      <c r="M19" s="441">
        <v>702.79</v>
      </c>
      <c r="N19" s="441">
        <v>460.28</v>
      </c>
      <c r="O19" s="441">
        <v>415.25</v>
      </c>
      <c r="P19" s="441">
        <v>575.47</v>
      </c>
      <c r="Q19" s="441">
        <v>239.56</v>
      </c>
      <c r="R19" s="441">
        <v>523.91</v>
      </c>
      <c r="S19" s="441">
        <v>383.34</v>
      </c>
      <c r="T19" s="125">
        <v>599.88</v>
      </c>
      <c r="U19" s="125">
        <v>836.76</v>
      </c>
      <c r="V19" s="125">
        <v>521.88</v>
      </c>
      <c r="W19" s="125">
        <v>636.79999999999995</v>
      </c>
      <c r="X19" s="125">
        <v>562.01</v>
      </c>
      <c r="Y19" s="125">
        <v>526.63</v>
      </c>
      <c r="Z19" s="125">
        <v>405.96</v>
      </c>
      <c r="AA19" s="125">
        <v>641.25</v>
      </c>
      <c r="AB19" s="125">
        <v>453.7</v>
      </c>
      <c r="AC19" s="125">
        <v>367.13</v>
      </c>
      <c r="AD19" s="125">
        <v>313.94</v>
      </c>
      <c r="AE19" s="478">
        <f>834.22+996.09</f>
        <v>1830.31</v>
      </c>
      <c r="AF19" s="478">
        <v>560.17999999999995</v>
      </c>
      <c r="AG19" s="480">
        <v>542.77</v>
      </c>
      <c r="AH19" s="420">
        <f t="shared" si="5"/>
        <v>17690.3</v>
      </c>
      <c r="AJ19" s="359"/>
      <c r="AK19" s="360"/>
      <c r="AL19" s="360"/>
      <c r="AM19" s="361"/>
    </row>
    <row r="20" spans="1:40" ht="15.75" x14ac:dyDescent="0.25">
      <c r="A20" s="369" t="str">
        <f>'[1]TEMP Summary'!A14</f>
        <v>01-00-1000</v>
      </c>
      <c r="B20" s="457" t="s">
        <v>192</v>
      </c>
      <c r="C20" s="482">
        <v>809.94</v>
      </c>
      <c r="D20" s="483">
        <v>1442.54</v>
      </c>
      <c r="E20" s="483">
        <v>1733.2</v>
      </c>
      <c r="F20" s="483">
        <v>1259.69</v>
      </c>
      <c r="G20" s="483">
        <v>1046.01</v>
      </c>
      <c r="H20" s="483">
        <v>1107.28</v>
      </c>
      <c r="I20" s="483">
        <v>1346.47</v>
      </c>
      <c r="J20" s="483">
        <v>1642.55</v>
      </c>
      <c r="K20" s="483">
        <v>1237.67</v>
      </c>
      <c r="L20" s="483">
        <v>782.79</v>
      </c>
      <c r="M20" s="483">
        <v>1078.31</v>
      </c>
      <c r="N20" s="483">
        <v>1085.8699999999999</v>
      </c>
      <c r="O20" s="483">
        <v>1185.4100000000001</v>
      </c>
      <c r="P20" s="483">
        <v>1058.04</v>
      </c>
      <c r="Q20" s="483">
        <v>1260.46</v>
      </c>
      <c r="R20" s="483">
        <v>1214.26</v>
      </c>
      <c r="S20" s="483">
        <v>1522.18</v>
      </c>
      <c r="T20" s="478">
        <v>893.82</v>
      </c>
      <c r="U20" s="478">
        <v>1023.06</v>
      </c>
      <c r="V20" s="478">
        <v>1223.23</v>
      </c>
      <c r="W20" s="478">
        <v>1051.9100000000001</v>
      </c>
      <c r="X20" s="478">
        <v>985.78</v>
      </c>
      <c r="Y20" s="478">
        <v>1068.0899999999999</v>
      </c>
      <c r="Z20" s="478">
        <v>1189.8499999999999</v>
      </c>
      <c r="AA20" s="478">
        <v>736.65</v>
      </c>
      <c r="AB20" s="478">
        <v>991.89</v>
      </c>
      <c r="AC20" s="478">
        <v>1027.5</v>
      </c>
      <c r="AD20" s="478">
        <v>731.93</v>
      </c>
      <c r="AE20" s="478">
        <v>574.78</v>
      </c>
      <c r="AF20" s="478">
        <v>855.35</v>
      </c>
      <c r="AG20" s="480">
        <v>1213.8699999999999</v>
      </c>
      <c r="AH20" s="420">
        <f t="shared" si="5"/>
        <v>34380.379999999997</v>
      </c>
      <c r="AJ20" s="126" t="s">
        <v>60</v>
      </c>
      <c r="AK20" s="127" t="s">
        <v>54</v>
      </c>
      <c r="AL20" s="454">
        <f>SUM(C18:AD19)</f>
        <v>37986.05999999999</v>
      </c>
      <c r="AM20" s="455">
        <f>SUM(AE18:AG19)</f>
        <v>5079.18</v>
      </c>
    </row>
    <row r="21" spans="1:40" ht="15.75" x14ac:dyDescent="0.25">
      <c r="A21" s="369" t="str">
        <f>'[1]TEMP Summary'!A15</f>
        <v>01-00-1000</v>
      </c>
      <c r="B21" s="457" t="s">
        <v>191</v>
      </c>
      <c r="C21" s="482">
        <v>626.83000000000004</v>
      </c>
      <c r="D21" s="483">
        <v>815.9</v>
      </c>
      <c r="E21" s="483">
        <v>1373</v>
      </c>
      <c r="F21" s="483">
        <v>923.54</v>
      </c>
      <c r="G21" s="483">
        <v>854.47</v>
      </c>
      <c r="H21" s="483">
        <v>706.01</v>
      </c>
      <c r="I21" s="483">
        <v>909.79</v>
      </c>
      <c r="J21" s="483">
        <v>826.21</v>
      </c>
      <c r="K21" s="483">
        <v>769.05</v>
      </c>
      <c r="L21" s="483">
        <v>567.04</v>
      </c>
      <c r="M21" s="483">
        <v>681.11</v>
      </c>
      <c r="N21" s="483">
        <v>593.11</v>
      </c>
      <c r="O21" s="483">
        <v>638.46</v>
      </c>
      <c r="P21" s="483">
        <v>736.5</v>
      </c>
      <c r="Q21" s="483">
        <v>538.24</v>
      </c>
      <c r="R21" s="483">
        <v>928.39</v>
      </c>
      <c r="S21" s="483">
        <v>508.35</v>
      </c>
      <c r="T21" s="478">
        <v>887.72</v>
      </c>
      <c r="U21" s="478">
        <v>821.22</v>
      </c>
      <c r="V21" s="478">
        <v>887.27</v>
      </c>
      <c r="W21" s="478">
        <v>676.83</v>
      </c>
      <c r="X21" s="478">
        <f>839.24</f>
        <v>839.24</v>
      </c>
      <c r="Y21" s="478">
        <v>675.54</v>
      </c>
      <c r="Z21" s="478">
        <v>743.62</v>
      </c>
      <c r="AA21" s="478">
        <v>778.59</v>
      </c>
      <c r="AB21" s="478">
        <v>553.08000000000004</v>
      </c>
      <c r="AC21" s="478">
        <v>618.30999999999995</v>
      </c>
      <c r="AD21" s="478">
        <v>531.57000000000005</v>
      </c>
      <c r="AE21" s="478">
        <v>892.23</v>
      </c>
      <c r="AF21" s="478">
        <v>742.31</v>
      </c>
      <c r="AG21" s="480">
        <v>593.76</v>
      </c>
      <c r="AH21" s="420">
        <f t="shared" si="5"/>
        <v>23237.29</v>
      </c>
      <c r="AJ21" s="129" t="s">
        <v>60</v>
      </c>
      <c r="AK21" s="130" t="s">
        <v>213</v>
      </c>
      <c r="AL21" s="291"/>
      <c r="AM21" s="292">
        <f>SUM(C20:AG21)-SUM(C29:AG29)</f>
        <v>55889.610000000008</v>
      </c>
    </row>
    <row r="22" spans="1:40" ht="15.75" x14ac:dyDescent="0.25">
      <c r="A22" s="369" t="s">
        <v>60</v>
      </c>
      <c r="B22" s="466" t="s">
        <v>217</v>
      </c>
      <c r="C22" s="467"/>
      <c r="D22" s="468"/>
      <c r="E22" s="468"/>
      <c r="F22" s="468"/>
      <c r="G22" s="468"/>
      <c r="H22" s="468"/>
      <c r="I22" s="468"/>
      <c r="J22" s="468"/>
      <c r="K22" s="468"/>
      <c r="L22" s="468"/>
      <c r="M22" s="468"/>
      <c r="N22" s="468"/>
      <c r="O22" s="468"/>
      <c r="P22" s="468"/>
      <c r="Q22" s="468"/>
      <c r="R22" s="468"/>
      <c r="S22" s="468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469"/>
      <c r="AH22" s="470"/>
      <c r="AJ22" s="362" t="s">
        <v>60</v>
      </c>
      <c r="AK22" s="363" t="s">
        <v>219</v>
      </c>
      <c r="AL22" s="364">
        <f>SUM(C22:AE23)</f>
        <v>0</v>
      </c>
      <c r="AM22" s="365">
        <f>SUM(AF22:AG23)</f>
        <v>0</v>
      </c>
    </row>
    <row r="23" spans="1:40" ht="16.5" thickBot="1" x14ac:dyDescent="0.3">
      <c r="A23" s="370" t="s">
        <v>60</v>
      </c>
      <c r="B23" s="458" t="s">
        <v>218</v>
      </c>
      <c r="C23" s="366"/>
      <c r="D23" s="367"/>
      <c r="E23" s="367"/>
      <c r="F23" s="367"/>
      <c r="G23" s="367"/>
      <c r="H23" s="367"/>
      <c r="I23" s="367"/>
      <c r="J23" s="367"/>
      <c r="K23" s="367"/>
      <c r="L23" s="367"/>
      <c r="M23" s="367"/>
      <c r="N23" s="367"/>
      <c r="O23" s="367"/>
      <c r="P23" s="367"/>
      <c r="Q23" s="367"/>
      <c r="R23" s="367"/>
      <c r="S23" s="367"/>
      <c r="T23" s="367"/>
      <c r="U23" s="367"/>
      <c r="V23" s="367"/>
      <c r="W23" s="367"/>
      <c r="X23" s="367"/>
      <c r="Y23" s="367"/>
      <c r="Z23" s="367"/>
      <c r="AA23" s="367"/>
      <c r="AB23" s="367"/>
      <c r="AC23" s="367"/>
      <c r="AD23" s="367"/>
      <c r="AE23" s="367"/>
      <c r="AF23" s="367"/>
      <c r="AG23" s="461"/>
      <c r="AH23" s="419">
        <f t="shared" si="5"/>
        <v>0</v>
      </c>
      <c r="AJ23" s="362"/>
      <c r="AK23" s="363"/>
      <c r="AL23" s="364"/>
      <c r="AM23" s="365"/>
    </row>
    <row r="24" spans="1:40" ht="16.5" thickBot="1" x14ac:dyDescent="0.3">
      <c r="A24" s="459"/>
      <c r="B24" s="460" t="s">
        <v>66</v>
      </c>
      <c r="C24" s="462">
        <f t="shared" ref="C24:AG24" si="6">SUM(C18:C21)</f>
        <v>2610</v>
      </c>
      <c r="D24" s="463">
        <f t="shared" si="6"/>
        <v>3796.84</v>
      </c>
      <c r="E24" s="463">
        <f t="shared" si="6"/>
        <v>5084.3</v>
      </c>
      <c r="F24" s="463">
        <f t="shared" si="6"/>
        <v>3777.4700000000003</v>
      </c>
      <c r="G24" s="463">
        <f t="shared" si="6"/>
        <v>2727.21</v>
      </c>
      <c r="H24" s="463">
        <f t="shared" si="6"/>
        <v>3264.1099999999997</v>
      </c>
      <c r="I24" s="463">
        <f t="shared" si="6"/>
        <v>3761.99</v>
      </c>
      <c r="J24" s="463">
        <f t="shared" si="6"/>
        <v>3608.92</v>
      </c>
      <c r="K24" s="463">
        <f t="shared" si="6"/>
        <v>3500.76</v>
      </c>
      <c r="L24" s="463">
        <f t="shared" si="6"/>
        <v>2457.25</v>
      </c>
      <c r="M24" s="463">
        <f t="shared" si="6"/>
        <v>3063.9100000000003</v>
      </c>
      <c r="N24" s="463">
        <f t="shared" si="6"/>
        <v>2927.65</v>
      </c>
      <c r="O24" s="463">
        <f t="shared" si="6"/>
        <v>3055.54</v>
      </c>
      <c r="P24" s="463">
        <f t="shared" si="6"/>
        <v>3316.73</v>
      </c>
      <c r="Q24" s="463">
        <f t="shared" si="6"/>
        <v>2976.8199999999997</v>
      </c>
      <c r="R24" s="463">
        <f t="shared" si="6"/>
        <v>4163.2400000000007</v>
      </c>
      <c r="S24" s="463">
        <f t="shared" si="6"/>
        <v>3382.6</v>
      </c>
      <c r="T24" s="463">
        <f t="shared" si="6"/>
        <v>3245.34</v>
      </c>
      <c r="U24" s="463">
        <f t="shared" si="6"/>
        <v>3439.3999999999996</v>
      </c>
      <c r="V24" s="463">
        <f t="shared" si="6"/>
        <v>3497.67</v>
      </c>
      <c r="W24" s="463">
        <f t="shared" si="6"/>
        <v>3110.7200000000003</v>
      </c>
      <c r="X24" s="463">
        <f t="shared" si="6"/>
        <v>3187.63</v>
      </c>
      <c r="Y24" s="463">
        <f t="shared" si="6"/>
        <v>3107.83</v>
      </c>
      <c r="Z24" s="463">
        <f t="shared" si="6"/>
        <v>2989.3499999999995</v>
      </c>
      <c r="AA24" s="463">
        <f t="shared" si="6"/>
        <v>2771.27</v>
      </c>
      <c r="AB24" s="463">
        <f t="shared" si="6"/>
        <v>2820.48</v>
      </c>
      <c r="AC24" s="463">
        <f t="shared" si="6"/>
        <v>2663.31</v>
      </c>
      <c r="AD24" s="463">
        <f t="shared" si="6"/>
        <v>2423.09</v>
      </c>
      <c r="AE24" s="463">
        <f t="shared" si="6"/>
        <v>3657.4</v>
      </c>
      <c r="AF24" s="463">
        <f t="shared" si="6"/>
        <v>3131.49</v>
      </c>
      <c r="AG24" s="464">
        <f t="shared" si="6"/>
        <v>3162.59</v>
      </c>
      <c r="AH24" s="465">
        <f t="shared" si="5"/>
        <v>100682.91000000002</v>
      </c>
      <c r="AJ24" s="135" t="s">
        <v>85</v>
      </c>
      <c r="AK24" s="136" t="s">
        <v>33</v>
      </c>
      <c r="AL24" s="293">
        <f>SUM(AH26:AH27)</f>
        <v>-4.9999999999045031E-2</v>
      </c>
      <c r="AM24" s="294"/>
      <c r="AN24" s="116" t="s">
        <v>133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490" t="s">
        <v>77</v>
      </c>
      <c r="AK25" s="504"/>
      <c r="AL25" s="505">
        <f>SUM(AL20:AM24)</f>
        <v>98954.8</v>
      </c>
      <c r="AM25" s="506"/>
      <c r="AN25" s="295">
        <f>AL25-(AH24+AH26+AH27-AH29)</f>
        <v>0</v>
      </c>
    </row>
    <row r="26" spans="1:40" ht="15.75" x14ac:dyDescent="0.25">
      <c r="A26" s="418"/>
      <c r="B26" s="417" t="s">
        <v>190</v>
      </c>
      <c r="C26" s="416">
        <f t="shared" ref="C26:AG26" si="7">SUM(C3:C7)-(C18+C20)</f>
        <v>0</v>
      </c>
      <c r="D26" s="416">
        <f t="shared" si="7"/>
        <v>-29.999999999999545</v>
      </c>
      <c r="E26" s="416">
        <f t="shared" si="7"/>
        <v>0</v>
      </c>
      <c r="F26" s="416">
        <f t="shared" si="7"/>
        <v>0</v>
      </c>
      <c r="G26" s="416">
        <f t="shared" si="7"/>
        <v>30.000000000000227</v>
      </c>
      <c r="H26" s="416">
        <f t="shared" si="7"/>
        <v>0</v>
      </c>
      <c r="I26" s="416">
        <f t="shared" si="7"/>
        <v>0</v>
      </c>
      <c r="J26" s="416">
        <f t="shared" si="7"/>
        <v>0</v>
      </c>
      <c r="K26" s="416">
        <f t="shared" si="7"/>
        <v>0</v>
      </c>
      <c r="L26" s="416">
        <f t="shared" si="7"/>
        <v>0</v>
      </c>
      <c r="M26" s="416">
        <f t="shared" si="7"/>
        <v>0</v>
      </c>
      <c r="N26" s="416">
        <f t="shared" si="7"/>
        <v>0</v>
      </c>
      <c r="O26" s="416">
        <f t="shared" si="7"/>
        <v>-4.9999999999727152E-2</v>
      </c>
      <c r="P26" s="416">
        <f t="shared" si="7"/>
        <v>0</v>
      </c>
      <c r="Q26" s="416">
        <f t="shared" si="7"/>
        <v>0</v>
      </c>
      <c r="R26" s="416">
        <f t="shared" si="7"/>
        <v>0</v>
      </c>
      <c r="S26" s="416">
        <f t="shared" si="7"/>
        <v>0</v>
      </c>
      <c r="T26" s="416">
        <f t="shared" si="7"/>
        <v>0</v>
      </c>
      <c r="U26" s="416">
        <f t="shared" si="7"/>
        <v>0</v>
      </c>
      <c r="V26" s="416">
        <f t="shared" si="7"/>
        <v>0</v>
      </c>
      <c r="W26" s="416">
        <f t="shared" si="7"/>
        <v>0</v>
      </c>
      <c r="X26" s="416">
        <f t="shared" si="7"/>
        <v>0</v>
      </c>
      <c r="Y26" s="416">
        <f t="shared" si="7"/>
        <v>0</v>
      </c>
      <c r="Z26" s="416">
        <f t="shared" si="7"/>
        <v>0</v>
      </c>
      <c r="AA26" s="416">
        <f t="shared" si="7"/>
        <v>0</v>
      </c>
      <c r="AB26" s="416">
        <f t="shared" si="7"/>
        <v>0</v>
      </c>
      <c r="AC26" s="416">
        <f t="shared" si="7"/>
        <v>0</v>
      </c>
      <c r="AD26" s="416">
        <f t="shared" si="7"/>
        <v>0</v>
      </c>
      <c r="AE26" s="416">
        <f t="shared" si="7"/>
        <v>0</v>
      </c>
      <c r="AF26" s="416">
        <f t="shared" si="7"/>
        <v>0</v>
      </c>
      <c r="AG26" s="416">
        <f t="shared" si="7"/>
        <v>0</v>
      </c>
      <c r="AH26" s="110">
        <f>SUM(C26:AG26)</f>
        <v>-4.9999999999045031E-2</v>
      </c>
    </row>
    <row r="27" spans="1:40" ht="16.5" thickBot="1" x14ac:dyDescent="0.3">
      <c r="A27" s="415"/>
      <c r="B27" s="183" t="s">
        <v>189</v>
      </c>
      <c r="C27" s="414">
        <f t="shared" ref="C27:AG27" si="8">SUM(C9:C13)-(C19+C21)</f>
        <v>0</v>
      </c>
      <c r="D27" s="414">
        <f t="shared" si="8"/>
        <v>0</v>
      </c>
      <c r="E27" s="414">
        <f t="shared" si="8"/>
        <v>0</v>
      </c>
      <c r="F27" s="414">
        <f t="shared" si="8"/>
        <v>0</v>
      </c>
      <c r="G27" s="414">
        <f t="shared" si="8"/>
        <v>0</v>
      </c>
      <c r="H27" s="414">
        <f t="shared" si="8"/>
        <v>0</v>
      </c>
      <c r="I27" s="414">
        <f t="shared" si="8"/>
        <v>0</v>
      </c>
      <c r="J27" s="414">
        <f t="shared" si="8"/>
        <v>0</v>
      </c>
      <c r="K27" s="414">
        <f t="shared" si="8"/>
        <v>0</v>
      </c>
      <c r="L27" s="414">
        <f t="shared" si="8"/>
        <v>0</v>
      </c>
      <c r="M27" s="414">
        <f t="shared" si="8"/>
        <v>0</v>
      </c>
      <c r="N27" s="414">
        <f t="shared" si="8"/>
        <v>0</v>
      </c>
      <c r="O27" s="414">
        <f t="shared" si="8"/>
        <v>0</v>
      </c>
      <c r="P27" s="414">
        <f t="shared" si="8"/>
        <v>0</v>
      </c>
      <c r="Q27" s="414">
        <f t="shared" si="8"/>
        <v>0</v>
      </c>
      <c r="R27" s="414">
        <f t="shared" si="8"/>
        <v>0</v>
      </c>
      <c r="S27" s="414">
        <f t="shared" si="8"/>
        <v>0</v>
      </c>
      <c r="T27" s="414">
        <f t="shared" si="8"/>
        <v>0</v>
      </c>
      <c r="U27" s="414">
        <f t="shared" si="8"/>
        <v>0</v>
      </c>
      <c r="V27" s="414">
        <f t="shared" si="8"/>
        <v>0</v>
      </c>
      <c r="W27" s="414">
        <f t="shared" si="8"/>
        <v>0</v>
      </c>
      <c r="X27" s="414">
        <f t="shared" si="8"/>
        <v>0</v>
      </c>
      <c r="Y27" s="414">
        <f t="shared" si="8"/>
        <v>0</v>
      </c>
      <c r="Z27" s="414">
        <f t="shared" si="8"/>
        <v>0</v>
      </c>
      <c r="AA27" s="414">
        <f t="shared" si="8"/>
        <v>0</v>
      </c>
      <c r="AB27" s="414">
        <f t="shared" si="8"/>
        <v>0</v>
      </c>
      <c r="AC27" s="414">
        <f t="shared" si="8"/>
        <v>0</v>
      </c>
      <c r="AD27" s="414">
        <f t="shared" si="8"/>
        <v>0</v>
      </c>
      <c r="AE27" s="414">
        <f t="shared" si="8"/>
        <v>0</v>
      </c>
      <c r="AF27" s="414">
        <f t="shared" si="8"/>
        <v>0</v>
      </c>
      <c r="AG27" s="414">
        <f t="shared" si="8"/>
        <v>0</v>
      </c>
      <c r="AH27" s="112">
        <f>SUM(C27:AG27)</f>
        <v>0</v>
      </c>
    </row>
    <row r="28" spans="1:40" ht="16.5" thickBot="1" x14ac:dyDescent="0.3">
      <c r="A28" s="448"/>
      <c r="B28" s="448"/>
      <c r="C28" s="449"/>
      <c r="D28" s="449"/>
      <c r="E28" s="449"/>
      <c r="F28" s="449"/>
      <c r="G28" s="449"/>
      <c r="H28" s="449"/>
      <c r="I28" s="449"/>
      <c r="J28" s="449"/>
      <c r="K28" s="449"/>
      <c r="L28" s="449"/>
      <c r="M28" s="449"/>
      <c r="N28" s="449"/>
      <c r="O28" s="449"/>
      <c r="P28" s="449"/>
      <c r="Q28" s="449"/>
      <c r="R28" s="449"/>
      <c r="S28" s="449"/>
      <c r="T28" s="449"/>
      <c r="U28" s="449"/>
      <c r="V28" s="449"/>
      <c r="W28" s="449"/>
      <c r="X28" s="449"/>
      <c r="Y28" s="449"/>
      <c r="Z28" s="449"/>
      <c r="AA28" s="449"/>
      <c r="AB28" s="449"/>
      <c r="AC28" s="449"/>
      <c r="AD28" s="449"/>
      <c r="AE28" s="449"/>
      <c r="AF28" s="449"/>
      <c r="AG28" s="449"/>
      <c r="AH28" s="450"/>
    </row>
    <row r="29" spans="1:40" ht="16.5" thickBot="1" x14ac:dyDescent="0.3">
      <c r="A29" s="451" t="s">
        <v>214</v>
      </c>
      <c r="B29" s="452" t="s">
        <v>204</v>
      </c>
      <c r="C29" s="476">
        <v>43.08</v>
      </c>
      <c r="D29" s="476">
        <v>67.73</v>
      </c>
      <c r="E29" s="476">
        <v>93.19</v>
      </c>
      <c r="F29" s="476">
        <v>65.5</v>
      </c>
      <c r="G29" s="476">
        <v>57.01</v>
      </c>
      <c r="H29" s="476">
        <v>54.38</v>
      </c>
      <c r="I29" s="476">
        <v>67.64</v>
      </c>
      <c r="J29" s="476">
        <v>74.040000000000006</v>
      </c>
      <c r="K29" s="476">
        <v>60.17</v>
      </c>
      <c r="L29" s="476">
        <v>40.49</v>
      </c>
      <c r="M29" s="476">
        <v>52.79</v>
      </c>
      <c r="N29" s="476">
        <v>50.36</v>
      </c>
      <c r="O29" s="476">
        <v>54.71</v>
      </c>
      <c r="P29" s="476">
        <v>53.81</v>
      </c>
      <c r="Q29" s="476">
        <v>53.94</v>
      </c>
      <c r="R29" s="476">
        <v>64.23</v>
      </c>
      <c r="S29" s="476">
        <v>60.9</v>
      </c>
      <c r="T29" s="476">
        <v>53.45</v>
      </c>
      <c r="U29" s="476">
        <v>55.31</v>
      </c>
      <c r="V29" s="476">
        <v>63.31</v>
      </c>
      <c r="W29" s="476">
        <v>51.86</v>
      </c>
      <c r="X29" s="476">
        <f>54.79-0.04</f>
        <v>54.75</v>
      </c>
      <c r="Y29" s="476">
        <f>52.37-0.08</f>
        <v>52.29</v>
      </c>
      <c r="Z29" s="476">
        <v>57.99</v>
      </c>
      <c r="AA29" s="476">
        <v>45.45</v>
      </c>
      <c r="AB29" s="476">
        <f>46.37-0.04</f>
        <v>46.33</v>
      </c>
      <c r="AC29" s="476">
        <v>49.36</v>
      </c>
      <c r="AD29" s="476">
        <f>38.01-0.12</f>
        <v>37.89</v>
      </c>
      <c r="AE29" s="476">
        <v>44</v>
      </c>
      <c r="AF29" s="476">
        <f>48.1-0.19</f>
        <v>47.910000000000004</v>
      </c>
      <c r="AG29" s="476">
        <f>54.28-0.09</f>
        <v>54.19</v>
      </c>
      <c r="AH29" s="453">
        <f>SUM(C29:AG29)</f>
        <v>1728.0599999999997</v>
      </c>
      <c r="AJ29" s="212" t="s">
        <v>214</v>
      </c>
      <c r="AK29" s="213" t="s">
        <v>206</v>
      </c>
      <c r="AL29" s="272"/>
      <c r="AM29" s="273">
        <f>SUM(C29:AG29)</f>
        <v>1728.0599999999997</v>
      </c>
    </row>
    <row r="30" spans="1:40" ht="16.5" thickBot="1" x14ac:dyDescent="0.3"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1"/>
    </row>
    <row r="31" spans="1:40" ht="16.5" thickBot="1" x14ac:dyDescent="0.3">
      <c r="A31" s="164"/>
      <c r="B31" s="165" t="s">
        <v>57</v>
      </c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7"/>
      <c r="AJ31" s="499" t="s">
        <v>57</v>
      </c>
      <c r="AK31" s="500"/>
    </row>
    <row r="32" spans="1:40" x14ac:dyDescent="0.25">
      <c r="A32" s="168"/>
      <c r="B32" s="139" t="s">
        <v>76</v>
      </c>
      <c r="C32" s="144">
        <v>196</v>
      </c>
      <c r="D32" s="144">
        <v>318</v>
      </c>
      <c r="E32" s="144">
        <v>410</v>
      </c>
      <c r="F32" s="144">
        <v>298</v>
      </c>
      <c r="G32" s="144">
        <f>211-2</f>
        <v>209</v>
      </c>
      <c r="H32" s="144">
        <v>268</v>
      </c>
      <c r="I32" s="144">
        <v>268</v>
      </c>
      <c r="J32" s="144">
        <f>'[1]TEMP Summary'!$T$22</f>
        <v>0</v>
      </c>
      <c r="K32" s="144">
        <v>317</v>
      </c>
      <c r="L32" s="144">
        <v>203</v>
      </c>
      <c r="M32" s="144">
        <v>225</v>
      </c>
      <c r="N32" s="144">
        <v>228</v>
      </c>
      <c r="O32" s="144">
        <v>243</v>
      </c>
      <c r="P32" s="144">
        <v>249</v>
      </c>
      <c r="Q32" s="144">
        <v>281</v>
      </c>
      <c r="R32" s="144">
        <v>308</v>
      </c>
      <c r="S32" s="144">
        <v>345</v>
      </c>
      <c r="T32" s="144">
        <v>238</v>
      </c>
      <c r="U32" s="144">
        <v>221</v>
      </c>
      <c r="V32" s="144">
        <v>264</v>
      </c>
      <c r="W32" s="144">
        <v>219</v>
      </c>
      <c r="X32" s="144">
        <v>226</v>
      </c>
      <c r="Y32" s="144">
        <f>255-1</f>
        <v>254</v>
      </c>
      <c r="Z32" s="144">
        <v>227</v>
      </c>
      <c r="AA32" s="144">
        <v>189</v>
      </c>
      <c r="AB32" s="144">
        <v>222</v>
      </c>
      <c r="AC32" s="144">
        <v>221</v>
      </c>
      <c r="AD32" s="144">
        <v>191</v>
      </c>
      <c r="AE32" s="144">
        <v>127</v>
      </c>
      <c r="AF32" s="144">
        <v>238</v>
      </c>
      <c r="AG32" s="144">
        <v>269</v>
      </c>
      <c r="AH32" s="413">
        <f t="shared" ref="AH32:AH44" si="9">SUM(C32:AG32)</f>
        <v>7472</v>
      </c>
      <c r="AJ32" s="258">
        <f>AH32+AH39</f>
        <v>12911</v>
      </c>
      <c r="AK32" s="259" t="s">
        <v>76</v>
      </c>
    </row>
    <row r="33" spans="1:37" x14ac:dyDescent="0.25">
      <c r="A33" s="168"/>
      <c r="B33" s="143" t="s">
        <v>75</v>
      </c>
      <c r="C33" s="144">
        <v>99</v>
      </c>
      <c r="D33" s="144">
        <v>128</v>
      </c>
      <c r="E33" s="144">
        <v>117</v>
      </c>
      <c r="F33" s="144">
        <v>118</v>
      </c>
      <c r="G33" s="144">
        <f>85-2</f>
        <v>83</v>
      </c>
      <c r="H33" s="144">
        <v>111</v>
      </c>
      <c r="I33" s="144">
        <v>106</v>
      </c>
      <c r="J33" s="144">
        <f>'[1]TEMP Summary'!$T$22</f>
        <v>0</v>
      </c>
      <c r="K33" s="144">
        <v>118</v>
      </c>
      <c r="L33" s="144">
        <v>60</v>
      </c>
      <c r="M33" s="144">
        <v>93</v>
      </c>
      <c r="N33" s="144">
        <v>90</v>
      </c>
      <c r="O33" s="144">
        <v>98</v>
      </c>
      <c r="P33" s="144">
        <v>104</v>
      </c>
      <c r="Q33" s="144">
        <v>90</v>
      </c>
      <c r="R33" s="144">
        <v>90</v>
      </c>
      <c r="S33" s="144">
        <v>96</v>
      </c>
      <c r="T33" s="144">
        <v>79</v>
      </c>
      <c r="U33" s="144">
        <v>92</v>
      </c>
      <c r="V33" s="144">
        <v>121</v>
      </c>
      <c r="W33" s="144">
        <v>96</v>
      </c>
      <c r="X33" s="144">
        <v>82</v>
      </c>
      <c r="Y33" s="144">
        <v>93</v>
      </c>
      <c r="Z33" s="144">
        <v>88</v>
      </c>
      <c r="AA33" s="144">
        <v>42</v>
      </c>
      <c r="AB33" s="144">
        <v>100</v>
      </c>
      <c r="AC33" s="144">
        <v>79</v>
      </c>
      <c r="AD33" s="144">
        <v>77</v>
      </c>
      <c r="AE33" s="144">
        <v>49</v>
      </c>
      <c r="AF33" s="144">
        <v>75</v>
      </c>
      <c r="AG33" s="144">
        <v>73</v>
      </c>
      <c r="AH33" s="412">
        <f t="shared" si="9"/>
        <v>2747</v>
      </c>
      <c r="AJ33" s="258">
        <f t="shared" ref="AJ33:AJ37" si="10">AH33+AH40</f>
        <v>4722</v>
      </c>
      <c r="AK33" s="259" t="s">
        <v>75</v>
      </c>
    </row>
    <row r="34" spans="1:37" x14ac:dyDescent="0.25">
      <c r="A34" s="168"/>
      <c r="B34" s="143" t="s">
        <v>210</v>
      </c>
      <c r="C34" s="144">
        <v>3</v>
      </c>
      <c r="D34" s="144">
        <v>21</v>
      </c>
      <c r="E34" s="144">
        <v>13</v>
      </c>
      <c r="F34" s="144">
        <v>11</v>
      </c>
      <c r="G34" s="144">
        <v>5</v>
      </c>
      <c r="H34" s="144">
        <v>5</v>
      </c>
      <c r="I34" s="144">
        <v>14</v>
      </c>
      <c r="J34" s="144">
        <f>'[1]TEMP Summary'!$T$22</f>
        <v>0</v>
      </c>
      <c r="K34" s="144">
        <v>9</v>
      </c>
      <c r="L34" s="144">
        <v>9</v>
      </c>
      <c r="M34" s="144">
        <v>7</v>
      </c>
      <c r="N34" s="144">
        <v>10</v>
      </c>
      <c r="O34" s="144">
        <f>'[1]TEMP Summary'!$T$22</f>
        <v>0</v>
      </c>
      <c r="P34" s="144">
        <v>5</v>
      </c>
      <c r="Q34" s="144">
        <f>'[1]TEMP Summary'!$T$22</f>
        <v>0</v>
      </c>
      <c r="R34" s="144">
        <v>10</v>
      </c>
      <c r="S34" s="144">
        <v>14</v>
      </c>
      <c r="T34" s="144">
        <v>14</v>
      </c>
      <c r="U34" s="144">
        <v>14</v>
      </c>
      <c r="V34" s="144">
        <v>0</v>
      </c>
      <c r="W34" s="144">
        <v>12</v>
      </c>
      <c r="X34" s="144">
        <f>'[1]TEMP Summary'!$T$22</f>
        <v>0</v>
      </c>
      <c r="Y34" s="144">
        <v>8</v>
      </c>
      <c r="Z34" s="144">
        <v>8</v>
      </c>
      <c r="AA34" s="144">
        <v>5</v>
      </c>
      <c r="AB34" s="144">
        <v>5</v>
      </c>
      <c r="AC34" s="144">
        <v>11</v>
      </c>
      <c r="AD34" s="144">
        <v>5</v>
      </c>
      <c r="AE34" s="144">
        <v>6</v>
      </c>
      <c r="AF34" s="144">
        <v>7</v>
      </c>
      <c r="AG34" s="144">
        <v>5</v>
      </c>
      <c r="AH34" s="412">
        <f t="shared" si="9"/>
        <v>236</v>
      </c>
      <c r="AJ34" s="258">
        <f t="shared" si="10"/>
        <v>359</v>
      </c>
      <c r="AK34" s="259" t="s">
        <v>211</v>
      </c>
    </row>
    <row r="35" spans="1:37" x14ac:dyDescent="0.25">
      <c r="A35" s="168"/>
      <c r="B35" s="143" t="s">
        <v>73</v>
      </c>
      <c r="C35" s="144">
        <v>0</v>
      </c>
      <c r="D35" s="144">
        <f>'[1]TEMP Summary'!$T$22</f>
        <v>0</v>
      </c>
      <c r="E35" s="144">
        <f>'[1]TEMP Summary'!$T$22</f>
        <v>0</v>
      </c>
      <c r="F35" s="144">
        <v>32</v>
      </c>
      <c r="G35" s="144">
        <v>15</v>
      </c>
      <c r="H35" s="144">
        <f>'[1]TEMP Summary'!$T$22</f>
        <v>0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f>'[1]TEMP Summary'!$T$22</f>
        <v>0</v>
      </c>
      <c r="M35" s="144">
        <f>'[1]TEMP Summary'!$T$22</f>
        <v>0</v>
      </c>
      <c r="N35" s="144">
        <f>'[1]TEMP Summary'!$T$22</f>
        <v>0</v>
      </c>
      <c r="O35" s="144">
        <f>'[1]TEMP Summary'!$T$22</f>
        <v>0</v>
      </c>
      <c r="P35" s="144">
        <v>20</v>
      </c>
      <c r="Q35" s="144">
        <f>'[1]TEMP Summary'!$T$22</f>
        <v>0</v>
      </c>
      <c r="R35" s="144">
        <v>48</v>
      </c>
      <c r="S35" s="144">
        <f>'[1]TEMP Summary'!$T$22</f>
        <v>0</v>
      </c>
      <c r="T35" s="144">
        <f>'[1]TEMP Summary'!$T$22</f>
        <v>0</v>
      </c>
      <c r="U35" s="144">
        <f>'[1]TEMP Summary'!$T$22</f>
        <v>0</v>
      </c>
      <c r="V35" s="144">
        <f>'[1]TEMP Summary'!$T$22</f>
        <v>0</v>
      </c>
      <c r="W35" s="144">
        <f>'[1]TEMP Summary'!$T$22</f>
        <v>0</v>
      </c>
      <c r="X35" s="144">
        <f>'[1]TEMP Summary'!$T$22</f>
        <v>0</v>
      </c>
      <c r="Y35" s="144">
        <v>30</v>
      </c>
      <c r="Z35" s="144">
        <f>'[1]TEMP Summary'!$T$22</f>
        <v>0</v>
      </c>
      <c r="AA35" s="144">
        <v>16</v>
      </c>
      <c r="AB35" s="144">
        <f>'[1]TEMP Summary'!$T$22</f>
        <v>0</v>
      </c>
      <c r="AC35" s="144">
        <f>'[1]TEMP Summary'!$T$22</f>
        <v>0</v>
      </c>
      <c r="AD35" s="144">
        <f>'[1]TEMP Summary'!$T$22</f>
        <v>0</v>
      </c>
      <c r="AE35" s="144">
        <f>'[1]TEMP Summary'!$T$22</f>
        <v>0</v>
      </c>
      <c r="AF35" s="144">
        <f>'[1]TEMP Summary'!$T$22</f>
        <v>0</v>
      </c>
      <c r="AG35" s="144">
        <v>16</v>
      </c>
      <c r="AH35" s="412">
        <f t="shared" si="9"/>
        <v>177</v>
      </c>
      <c r="AJ35" s="258">
        <f t="shared" si="10"/>
        <v>430</v>
      </c>
      <c r="AK35" s="259" t="s">
        <v>73</v>
      </c>
    </row>
    <row r="36" spans="1:37" x14ac:dyDescent="0.25">
      <c r="A36" s="168"/>
      <c r="B36" s="143" t="s">
        <v>74</v>
      </c>
      <c r="C36" s="144">
        <v>28</v>
      </c>
      <c r="D36" s="144">
        <v>42</v>
      </c>
      <c r="E36" s="144">
        <v>35</v>
      </c>
      <c r="F36" s="144">
        <v>19</v>
      </c>
      <c r="G36" s="144">
        <v>26</v>
      </c>
      <c r="H36" s="144">
        <v>45</v>
      </c>
      <c r="I36" s="144">
        <v>43</v>
      </c>
      <c r="J36" s="144">
        <f>'[1]TEMP Summary'!$T$22</f>
        <v>0</v>
      </c>
      <c r="K36" s="144">
        <v>40</v>
      </c>
      <c r="L36" s="144">
        <v>31</v>
      </c>
      <c r="M36" s="144">
        <v>31</v>
      </c>
      <c r="N36" s="144">
        <v>55</v>
      </c>
      <c r="O36" s="144">
        <v>40</v>
      </c>
      <c r="P36" s="144">
        <v>43</v>
      </c>
      <c r="Q36" s="144">
        <v>32</v>
      </c>
      <c r="R36" s="144">
        <v>80</v>
      </c>
      <c r="S36" s="144">
        <v>45</v>
      </c>
      <c r="T36" s="144">
        <v>36</v>
      </c>
      <c r="U36" s="144">
        <v>59</v>
      </c>
      <c r="V36" s="144">
        <v>52</v>
      </c>
      <c r="W36" s="144">
        <v>69</v>
      </c>
      <c r="X36" s="144">
        <v>46</v>
      </c>
      <c r="Y36" s="144">
        <v>35</v>
      </c>
      <c r="Z36" s="144">
        <v>22</v>
      </c>
      <c r="AA36" s="144">
        <v>26</v>
      </c>
      <c r="AB36" s="144">
        <v>53</v>
      </c>
      <c r="AC36" s="144">
        <v>47</v>
      </c>
      <c r="AD36" s="144">
        <v>42</v>
      </c>
      <c r="AE36" s="144">
        <v>13</v>
      </c>
      <c r="AF36" s="144">
        <v>47</v>
      </c>
      <c r="AG36" s="144">
        <v>42</v>
      </c>
      <c r="AH36" s="412">
        <f t="shared" si="9"/>
        <v>1224</v>
      </c>
      <c r="AJ36" s="258">
        <f t="shared" si="10"/>
        <v>1937</v>
      </c>
      <c r="AK36" s="259" t="s">
        <v>74</v>
      </c>
    </row>
    <row r="37" spans="1:37" x14ac:dyDescent="0.25">
      <c r="A37" s="168"/>
      <c r="B37" s="143" t="s">
        <v>72</v>
      </c>
      <c r="C37" s="144">
        <v>3</v>
      </c>
      <c r="D37" s="144">
        <v>5</v>
      </c>
      <c r="E37" s="144">
        <v>2</v>
      </c>
      <c r="F37" s="144">
        <v>10</v>
      </c>
      <c r="G37" s="144">
        <v>3</v>
      </c>
      <c r="H37" s="144">
        <v>11</v>
      </c>
      <c r="I37" s="144">
        <v>10</v>
      </c>
      <c r="J37" s="144">
        <f>'[1]TEMP Summary'!$T$22</f>
        <v>0</v>
      </c>
      <c r="K37" s="144">
        <v>1</v>
      </c>
      <c r="L37" s="144">
        <v>3</v>
      </c>
      <c r="M37" s="144">
        <v>6</v>
      </c>
      <c r="N37" s="144">
        <v>5</v>
      </c>
      <c r="O37" s="144">
        <v>8</v>
      </c>
      <c r="P37" s="144">
        <v>10</v>
      </c>
      <c r="Q37" s="144">
        <v>5</v>
      </c>
      <c r="R37" s="144">
        <v>8</v>
      </c>
      <c r="S37" s="144">
        <v>16</v>
      </c>
      <c r="T37" s="144">
        <v>6</v>
      </c>
      <c r="U37" s="144">
        <v>7</v>
      </c>
      <c r="V37" s="144">
        <v>20</v>
      </c>
      <c r="W37" s="144">
        <v>8</v>
      </c>
      <c r="X37" s="144">
        <v>14</v>
      </c>
      <c r="Y37" s="144">
        <v>4</v>
      </c>
      <c r="Z37" s="144">
        <v>8</v>
      </c>
      <c r="AA37" s="144">
        <v>7</v>
      </c>
      <c r="AB37" s="144">
        <v>10</v>
      </c>
      <c r="AC37" s="144">
        <v>8</v>
      </c>
      <c r="AD37" s="144">
        <v>5</v>
      </c>
      <c r="AE37" s="144">
        <v>2</v>
      </c>
      <c r="AF37" s="144">
        <v>10</v>
      </c>
      <c r="AG37" s="144">
        <v>6</v>
      </c>
      <c r="AH37" s="412">
        <f t="shared" si="9"/>
        <v>221</v>
      </c>
      <c r="AJ37" s="258">
        <f t="shared" si="10"/>
        <v>343</v>
      </c>
      <c r="AK37" s="259" t="s">
        <v>72</v>
      </c>
    </row>
    <row r="38" spans="1:37" ht="15.75" thickBot="1" x14ac:dyDescent="0.3">
      <c r="A38" s="168"/>
      <c r="B38" s="442" t="s">
        <v>188</v>
      </c>
      <c r="C38" s="443">
        <f t="shared" ref="C38:AG38" si="11">SUM(C32:C37)</f>
        <v>329</v>
      </c>
      <c r="D38" s="444">
        <f t="shared" si="11"/>
        <v>514</v>
      </c>
      <c r="E38" s="444">
        <f t="shared" si="11"/>
        <v>577</v>
      </c>
      <c r="F38" s="444">
        <f t="shared" si="11"/>
        <v>488</v>
      </c>
      <c r="G38" s="444">
        <f t="shared" si="11"/>
        <v>341</v>
      </c>
      <c r="H38" s="444">
        <f t="shared" si="11"/>
        <v>440</v>
      </c>
      <c r="I38" s="444">
        <f t="shared" si="11"/>
        <v>441</v>
      </c>
      <c r="J38" s="444">
        <f t="shared" si="11"/>
        <v>0</v>
      </c>
      <c r="K38" s="444">
        <f t="shared" si="11"/>
        <v>485</v>
      </c>
      <c r="L38" s="444">
        <f t="shared" si="11"/>
        <v>306</v>
      </c>
      <c r="M38" s="444">
        <f t="shared" si="11"/>
        <v>362</v>
      </c>
      <c r="N38" s="444">
        <f t="shared" si="11"/>
        <v>388</v>
      </c>
      <c r="O38" s="444">
        <f t="shared" si="11"/>
        <v>389</v>
      </c>
      <c r="P38" s="444">
        <f t="shared" si="11"/>
        <v>431</v>
      </c>
      <c r="Q38" s="444">
        <f t="shared" si="11"/>
        <v>408</v>
      </c>
      <c r="R38" s="444">
        <f t="shared" si="11"/>
        <v>544</v>
      </c>
      <c r="S38" s="444">
        <f t="shared" si="11"/>
        <v>516</v>
      </c>
      <c r="T38" s="444">
        <f t="shared" si="11"/>
        <v>373</v>
      </c>
      <c r="U38" s="444">
        <f t="shared" si="11"/>
        <v>393</v>
      </c>
      <c r="V38" s="444">
        <f t="shared" si="11"/>
        <v>457</v>
      </c>
      <c r="W38" s="444">
        <f t="shared" si="11"/>
        <v>404</v>
      </c>
      <c r="X38" s="444">
        <f t="shared" si="11"/>
        <v>368</v>
      </c>
      <c r="Y38" s="444">
        <f t="shared" si="11"/>
        <v>424</v>
      </c>
      <c r="Z38" s="444">
        <f t="shared" si="11"/>
        <v>353</v>
      </c>
      <c r="AA38" s="444">
        <f t="shared" si="11"/>
        <v>285</v>
      </c>
      <c r="AB38" s="444">
        <f t="shared" si="11"/>
        <v>390</v>
      </c>
      <c r="AC38" s="444">
        <f t="shared" si="11"/>
        <v>366</v>
      </c>
      <c r="AD38" s="444">
        <f t="shared" si="11"/>
        <v>320</v>
      </c>
      <c r="AE38" s="444">
        <f t="shared" si="11"/>
        <v>197</v>
      </c>
      <c r="AF38" s="444">
        <f t="shared" si="11"/>
        <v>377</v>
      </c>
      <c r="AG38" s="445">
        <f t="shared" si="11"/>
        <v>411</v>
      </c>
      <c r="AH38" s="411">
        <f>SUM(C38:AG38)</f>
        <v>12077</v>
      </c>
      <c r="AJ38" s="258"/>
      <c r="AK38" s="259"/>
    </row>
    <row r="39" spans="1:37" x14ac:dyDescent="0.25">
      <c r="A39" s="168"/>
      <c r="B39" s="410" t="s">
        <v>76</v>
      </c>
      <c r="C39" s="140">
        <f>329-C32</f>
        <v>133</v>
      </c>
      <c r="D39" s="140">
        <f>525-D32</f>
        <v>207</v>
      </c>
      <c r="E39" s="140">
        <f>746-E32</f>
        <v>336</v>
      </c>
      <c r="F39" s="140">
        <f>517-F32</f>
        <v>219</v>
      </c>
      <c r="G39" s="140">
        <f>341-G32</f>
        <v>132</v>
      </c>
      <c r="H39" s="140">
        <f>416-H32</f>
        <v>148</v>
      </c>
      <c r="I39" s="140">
        <f>465-I32</f>
        <v>197</v>
      </c>
      <c r="J39" s="140">
        <v>434</v>
      </c>
      <c r="K39" s="140">
        <f>479-K32</f>
        <v>162</v>
      </c>
      <c r="L39" s="140">
        <f>344-L32</f>
        <v>141</v>
      </c>
      <c r="M39" s="140">
        <f>393-M32</f>
        <v>168</v>
      </c>
      <c r="N39" s="140">
        <f>366-N32</f>
        <v>138</v>
      </c>
      <c r="O39" s="140">
        <f>384-O32</f>
        <v>141</v>
      </c>
      <c r="P39" s="140">
        <f>389-P32</f>
        <v>140</v>
      </c>
      <c r="Q39" s="140">
        <f>372-Q32</f>
        <v>91</v>
      </c>
      <c r="R39" s="140">
        <f>484-R32</f>
        <v>176</v>
      </c>
      <c r="S39" s="140">
        <f>459-S32</f>
        <v>114</v>
      </c>
      <c r="T39" s="140">
        <f>426-T32</f>
        <v>188</v>
      </c>
      <c r="U39" s="140">
        <f>417-U32</f>
        <v>196</v>
      </c>
      <c r="V39" s="140">
        <f>423-V32</f>
        <v>159</v>
      </c>
      <c r="W39" s="140">
        <f>385-W32</f>
        <v>166</v>
      </c>
      <c r="X39" s="140">
        <f>409-X32</f>
        <v>183</v>
      </c>
      <c r="Y39" s="140">
        <f>425-1-Y32</f>
        <v>170</v>
      </c>
      <c r="Z39" s="140">
        <f>388-Z32</f>
        <v>161</v>
      </c>
      <c r="AA39" s="140">
        <f>367-AA32</f>
        <v>178</v>
      </c>
      <c r="AB39" s="140">
        <f>354-AB32</f>
        <v>132</v>
      </c>
      <c r="AC39" s="140">
        <f>348-AC32</f>
        <v>127</v>
      </c>
      <c r="AD39" s="140">
        <f>323-AD32</f>
        <v>132</v>
      </c>
      <c r="AE39" s="140">
        <f>380-AE32</f>
        <v>253</v>
      </c>
      <c r="AF39" s="140">
        <f>406-AF32</f>
        <v>168</v>
      </c>
      <c r="AG39" s="141">
        <f>418-AG32</f>
        <v>149</v>
      </c>
      <c r="AH39" s="142">
        <f t="shared" si="9"/>
        <v>5439</v>
      </c>
      <c r="AJ39" s="258"/>
      <c r="AK39" s="259"/>
    </row>
    <row r="40" spans="1:37" x14ac:dyDescent="0.25">
      <c r="A40" s="168"/>
      <c r="B40" s="143" t="s">
        <v>75</v>
      </c>
      <c r="C40" s="144">
        <f>163-C33</f>
        <v>64</v>
      </c>
      <c r="D40" s="144">
        <f>179-D33</f>
        <v>51</v>
      </c>
      <c r="E40" s="144">
        <f>221-E33</f>
        <v>104</v>
      </c>
      <c r="F40" s="144">
        <f>190-F33</f>
        <v>72</v>
      </c>
      <c r="G40" s="144">
        <f>125-G33</f>
        <v>42</v>
      </c>
      <c r="H40" s="144">
        <f>192-H33</f>
        <v>81</v>
      </c>
      <c r="I40" s="144">
        <f>189-I33</f>
        <v>83</v>
      </c>
      <c r="J40" s="144">
        <v>175</v>
      </c>
      <c r="K40" s="144">
        <f>187-K33</f>
        <v>69</v>
      </c>
      <c r="L40" s="144">
        <f>104-L33</f>
        <v>44</v>
      </c>
      <c r="M40" s="144">
        <f>156-M33</f>
        <v>63</v>
      </c>
      <c r="N40" s="144">
        <f>153-N33</f>
        <v>63</v>
      </c>
      <c r="O40" s="144">
        <f>145-O33</f>
        <v>47</v>
      </c>
      <c r="P40" s="144">
        <f>156-P33</f>
        <v>52</v>
      </c>
      <c r="Q40" s="144">
        <f>126-Q33</f>
        <v>36</v>
      </c>
      <c r="R40" s="144">
        <f>138-R33</f>
        <v>48</v>
      </c>
      <c r="S40" s="144">
        <f>144-S33</f>
        <v>48</v>
      </c>
      <c r="T40" s="144">
        <f>152-T33</f>
        <v>73</v>
      </c>
      <c r="U40" s="144">
        <f>167-U33</f>
        <v>75</v>
      </c>
      <c r="V40" s="144">
        <f>181-V33</f>
        <v>60</v>
      </c>
      <c r="W40" s="144">
        <f>153-W33</f>
        <v>57</v>
      </c>
      <c r="X40" s="144">
        <f>154-X33</f>
        <v>72</v>
      </c>
      <c r="Y40" s="144">
        <f>168-Y33</f>
        <v>75</v>
      </c>
      <c r="Z40" s="144">
        <f>141-Z33</f>
        <v>53</v>
      </c>
      <c r="AA40" s="144">
        <f>111-AA33</f>
        <v>69</v>
      </c>
      <c r="AB40" s="144">
        <f>142-AB33</f>
        <v>42</v>
      </c>
      <c r="AC40" s="144">
        <f>125-AC33</f>
        <v>46</v>
      </c>
      <c r="AD40" s="144">
        <f>111-AD33</f>
        <v>34</v>
      </c>
      <c r="AE40" s="144">
        <f>107-AE33</f>
        <v>58</v>
      </c>
      <c r="AF40" s="144">
        <f>140-AF33</f>
        <v>65</v>
      </c>
      <c r="AG40" s="145">
        <f>127-AG33</f>
        <v>54</v>
      </c>
      <c r="AH40" s="142">
        <f t="shared" si="9"/>
        <v>1975</v>
      </c>
      <c r="AJ40" s="258"/>
      <c r="AK40" s="259"/>
    </row>
    <row r="41" spans="1:37" x14ac:dyDescent="0.25">
      <c r="A41" s="168"/>
      <c r="B41" s="143" t="s">
        <v>210</v>
      </c>
      <c r="C41" s="144">
        <f>8-C34</f>
        <v>5</v>
      </c>
      <c r="D41" s="144">
        <f>25-D34</f>
        <v>4</v>
      </c>
      <c r="E41" s="144">
        <f>24-E34</f>
        <v>11</v>
      </c>
      <c r="F41" s="144">
        <f>'[1]TEMP Summary'!$T$22</f>
        <v>0</v>
      </c>
      <c r="G41" s="144">
        <f>11-G34</f>
        <v>6</v>
      </c>
      <c r="H41" s="144">
        <f>8-H34</f>
        <v>3</v>
      </c>
      <c r="I41" s="144">
        <f>19-I34</f>
        <v>5</v>
      </c>
      <c r="J41" s="144">
        <v>9</v>
      </c>
      <c r="K41" s="144">
        <f>12-K34</f>
        <v>3</v>
      </c>
      <c r="L41" s="144">
        <f>14-L34</f>
        <v>5</v>
      </c>
      <c r="M41" s="144">
        <v>0</v>
      </c>
      <c r="N41" s="144">
        <f>13-N34</f>
        <v>3</v>
      </c>
      <c r="O41" s="144">
        <f>'[1]TEMP Summary'!$T$22</f>
        <v>0</v>
      </c>
      <c r="P41" s="144">
        <f>7-P34</f>
        <v>2</v>
      </c>
      <c r="Q41" s="144">
        <v>8</v>
      </c>
      <c r="R41" s="144">
        <f>12-R34</f>
        <v>2</v>
      </c>
      <c r="S41" s="144">
        <f>17-S34</f>
        <v>3</v>
      </c>
      <c r="T41" s="144">
        <f>15-T34</f>
        <v>1</v>
      </c>
      <c r="U41" s="144">
        <f>25-U34</f>
        <v>11</v>
      </c>
      <c r="V41" s="144">
        <v>6</v>
      </c>
      <c r="W41" s="144">
        <f>15-W34</f>
        <v>3</v>
      </c>
      <c r="X41" s="144">
        <f>'[1]TEMP Summary'!$T$22</f>
        <v>0</v>
      </c>
      <c r="Y41" s="144">
        <f>'[1]TEMP Summary'!$T$22</f>
        <v>0</v>
      </c>
      <c r="Z41" s="144">
        <f>15-Z34</f>
        <v>7</v>
      </c>
      <c r="AA41" s="144">
        <f>7-AA34</f>
        <v>2</v>
      </c>
      <c r="AB41" s="144">
        <f>8-AB34</f>
        <v>3</v>
      </c>
      <c r="AC41" s="144">
        <f>16-AC34</f>
        <v>5</v>
      </c>
      <c r="AD41" s="144">
        <f>8-AD34</f>
        <v>3</v>
      </c>
      <c r="AE41" s="144">
        <f>14-AE34</f>
        <v>8</v>
      </c>
      <c r="AF41" s="144">
        <f>11-AF34</f>
        <v>4</v>
      </c>
      <c r="AG41" s="145">
        <f>6-AG34</f>
        <v>1</v>
      </c>
      <c r="AH41" s="142">
        <f t="shared" si="9"/>
        <v>123</v>
      </c>
      <c r="AJ41" s="258"/>
      <c r="AK41" s="259"/>
    </row>
    <row r="42" spans="1:37" x14ac:dyDescent="0.25">
      <c r="A42" s="168"/>
      <c r="B42" s="143" t="s">
        <v>73</v>
      </c>
      <c r="C42" s="144">
        <v>23</v>
      </c>
      <c r="D42" s="144">
        <f>'[1]TEMP Summary'!$T$22</f>
        <v>0</v>
      </c>
      <c r="E42" s="144">
        <v>15</v>
      </c>
      <c r="F42" s="144">
        <f>'[1]TEMP Summary'!$T$22</f>
        <v>0</v>
      </c>
      <c r="G42" s="144">
        <f>81-G35</f>
        <v>66</v>
      </c>
      <c r="H42" s="144">
        <f>'[1]TEMP Summary'!$T$22</f>
        <v>0</v>
      </c>
      <c r="I42" s="144">
        <v>20</v>
      </c>
      <c r="J42" s="144">
        <v>18</v>
      </c>
      <c r="K42" s="144">
        <f>'[1]TEMP Summary'!$T$22</f>
        <v>0</v>
      </c>
      <c r="L42" s="144">
        <f>'[1]TEMP Summary'!$T$22</f>
        <v>0</v>
      </c>
      <c r="M42" s="144">
        <f>'[1]TEMP Summary'!$T$22</f>
        <v>0</v>
      </c>
      <c r="N42" s="144">
        <f>'[1]TEMP Summary'!$T$22</f>
        <v>0</v>
      </c>
      <c r="O42" s="144">
        <f>'[1]TEMP Summary'!$T$22</f>
        <v>0</v>
      </c>
      <c r="P42" s="144">
        <f>'[1]TEMP Summary'!$T$22</f>
        <v>0</v>
      </c>
      <c r="Q42" s="144">
        <v>27</v>
      </c>
      <c r="R42" s="144">
        <f>'[1]TEMP Summary'!$T$22</f>
        <v>0</v>
      </c>
      <c r="S42" s="144">
        <f>'[1]TEMP Summary'!$T$22</f>
        <v>0</v>
      </c>
      <c r="T42" s="144">
        <f>'[1]TEMP Summary'!$T$22</f>
        <v>0</v>
      </c>
      <c r="U42" s="144">
        <v>15</v>
      </c>
      <c r="V42" s="144">
        <v>39</v>
      </c>
      <c r="W42" s="144">
        <f>'[1]TEMP Summary'!$T$22</f>
        <v>0</v>
      </c>
      <c r="X42" s="144">
        <f>'[1]TEMP Summary'!$T$22</f>
        <v>0</v>
      </c>
      <c r="Y42" s="144">
        <f>'[1]TEMP Summary'!$T$22</f>
        <v>0</v>
      </c>
      <c r="Z42" s="144">
        <f>'[1]TEMP Summary'!$T$22</f>
        <v>0</v>
      </c>
      <c r="AA42" s="144">
        <f>31-AA35</f>
        <v>15</v>
      </c>
      <c r="AB42" s="144">
        <f>'[1]TEMP Summary'!$T$22</f>
        <v>0</v>
      </c>
      <c r="AC42" s="144">
        <v>15</v>
      </c>
      <c r="AD42" s="144">
        <f>'[1]TEMP Summary'!$T$22</f>
        <v>0</v>
      </c>
      <c r="AE42" s="144">
        <f>'[1]TEMP Summary'!$T$22</f>
        <v>0</v>
      </c>
      <c r="AF42" s="144">
        <f>'[1]TEMP Summary'!$T$22</f>
        <v>0</v>
      </c>
      <c r="AG42" s="145">
        <f>'[1]TEMP Summary'!$T$22</f>
        <v>0</v>
      </c>
      <c r="AH42" s="142">
        <f t="shared" si="9"/>
        <v>253</v>
      </c>
      <c r="AJ42" s="258"/>
      <c r="AK42" s="259"/>
    </row>
    <row r="43" spans="1:37" x14ac:dyDescent="0.25">
      <c r="A43" s="168"/>
      <c r="B43" s="143" t="s">
        <v>74</v>
      </c>
      <c r="C43" s="144">
        <f>51-C36</f>
        <v>23</v>
      </c>
      <c r="D43" s="144">
        <f>57-D36</f>
        <v>15</v>
      </c>
      <c r="E43" s="144">
        <f>57-E36</f>
        <v>22</v>
      </c>
      <c r="F43" s="144">
        <f>34-F36</f>
        <v>15</v>
      </c>
      <c r="G43" s="144">
        <f>40-G36</f>
        <v>14</v>
      </c>
      <c r="H43" s="144">
        <f>52-H36</f>
        <v>7</v>
      </c>
      <c r="I43" s="144">
        <f>65-I36</f>
        <v>22</v>
      </c>
      <c r="J43" s="144">
        <v>40</v>
      </c>
      <c r="K43" s="144">
        <f>60-K36</f>
        <v>20</v>
      </c>
      <c r="L43" s="144">
        <f>43-L36</f>
        <v>12</v>
      </c>
      <c r="M43" s="144">
        <f>67-M36</f>
        <v>36</v>
      </c>
      <c r="N43" s="144">
        <f>76-N36</f>
        <v>21</v>
      </c>
      <c r="O43" s="144">
        <f>56-O36</f>
        <v>16</v>
      </c>
      <c r="P43" s="144">
        <f>83-P36</f>
        <v>40</v>
      </c>
      <c r="Q43" s="144">
        <f>56-Q36</f>
        <v>24</v>
      </c>
      <c r="R43" s="144">
        <f>106-R36</f>
        <v>26</v>
      </c>
      <c r="S43" s="144">
        <f>51-S36</f>
        <v>6</v>
      </c>
      <c r="T43" s="144">
        <f>61-T36</f>
        <v>25</v>
      </c>
      <c r="U43" s="144">
        <f>100-U36</f>
        <v>41</v>
      </c>
      <c r="V43" s="144">
        <f>96-V36</f>
        <v>44</v>
      </c>
      <c r="W43" s="144">
        <f>100-W36</f>
        <v>31</v>
      </c>
      <c r="X43" s="144">
        <f>69-X36</f>
        <v>23</v>
      </c>
      <c r="Y43" s="144">
        <f>48-Y36</f>
        <v>13</v>
      </c>
      <c r="Z43" s="144">
        <f>36-Z36</f>
        <v>14</v>
      </c>
      <c r="AA43" s="144">
        <f>45-AA36</f>
        <v>19</v>
      </c>
      <c r="AB43" s="144">
        <f>82-AB36</f>
        <v>29</v>
      </c>
      <c r="AC43" s="144">
        <f>62-AC36</f>
        <v>15</v>
      </c>
      <c r="AD43" s="144">
        <f>53-AD36</f>
        <v>11</v>
      </c>
      <c r="AE43" s="144">
        <f>54-AE36</f>
        <v>41</v>
      </c>
      <c r="AF43" s="144">
        <f>68-AF36</f>
        <v>21</v>
      </c>
      <c r="AG43" s="145">
        <f>69-AG36</f>
        <v>27</v>
      </c>
      <c r="AH43" s="142">
        <f t="shared" si="9"/>
        <v>713</v>
      </c>
      <c r="AJ43" s="258"/>
      <c r="AK43" s="259"/>
    </row>
    <row r="44" spans="1:37" x14ac:dyDescent="0.25">
      <c r="A44" s="168"/>
      <c r="B44" s="143" t="s">
        <v>72</v>
      </c>
      <c r="C44" s="144">
        <f>7-C37</f>
        <v>4</v>
      </c>
      <c r="D44" s="144">
        <f>7-D37</f>
        <v>2</v>
      </c>
      <c r="E44" s="144">
        <f>5-E37</f>
        <v>3</v>
      </c>
      <c r="F44" s="144">
        <f>15-F37</f>
        <v>5</v>
      </c>
      <c r="G44" s="144">
        <f>6-G37</f>
        <v>3</v>
      </c>
      <c r="H44" s="144">
        <f>16-H37</f>
        <v>5</v>
      </c>
      <c r="I44" s="144">
        <f>19-I37</f>
        <v>9</v>
      </c>
      <c r="J44" s="144">
        <v>8</v>
      </c>
      <c r="K44" s="144">
        <f>2-K37</f>
        <v>1</v>
      </c>
      <c r="L44" s="144">
        <v>0</v>
      </c>
      <c r="M44" s="144">
        <f>10-M37</f>
        <v>4</v>
      </c>
      <c r="N44" s="144">
        <f>7-N37</f>
        <v>2</v>
      </c>
      <c r="O44" s="144">
        <f>18-O37</f>
        <v>10</v>
      </c>
      <c r="P44" s="144">
        <f>11-P37</f>
        <v>1</v>
      </c>
      <c r="Q44" s="144">
        <f>13-Q37</f>
        <v>8</v>
      </c>
      <c r="R44" s="144">
        <f>14-R37</f>
        <v>6</v>
      </c>
      <c r="S44" s="144">
        <f>19-S37</f>
        <v>3</v>
      </c>
      <c r="T44" s="144">
        <f>7-T37</f>
        <v>1</v>
      </c>
      <c r="U44" s="144">
        <f>10-U37</f>
        <v>3</v>
      </c>
      <c r="V44" s="144">
        <f>24-V37</f>
        <v>4</v>
      </c>
      <c r="W44" s="144">
        <f>13-W37</f>
        <v>5</v>
      </c>
      <c r="X44" s="144">
        <f>22-X37</f>
        <v>8</v>
      </c>
      <c r="Y44" s="144">
        <f>9-Y37</f>
        <v>5</v>
      </c>
      <c r="Z44" s="144">
        <f>11-Z37</f>
        <v>3</v>
      </c>
      <c r="AA44" s="144">
        <f>11-AA37</f>
        <v>4</v>
      </c>
      <c r="AB44" s="144">
        <f>11-AB37</f>
        <v>1</v>
      </c>
      <c r="AC44" s="144">
        <f>13-AC37</f>
        <v>5</v>
      </c>
      <c r="AD44" s="144">
        <v>0</v>
      </c>
      <c r="AE44" s="144">
        <f>4-AE37</f>
        <v>2</v>
      </c>
      <c r="AF44" s="144">
        <f>14-AF37</f>
        <v>4</v>
      </c>
      <c r="AG44" s="145">
        <f>9-AG37</f>
        <v>3</v>
      </c>
      <c r="AH44" s="142">
        <f t="shared" si="9"/>
        <v>122</v>
      </c>
      <c r="AJ44" s="258"/>
      <c r="AK44" s="260"/>
    </row>
    <row r="45" spans="1:37" x14ac:dyDescent="0.25">
      <c r="A45" s="168"/>
      <c r="B45" s="446" t="s">
        <v>187</v>
      </c>
      <c r="C45" s="443">
        <f t="shared" ref="C45:AG45" si="12">SUM(C39:C44)</f>
        <v>252</v>
      </c>
      <c r="D45" s="443">
        <f t="shared" si="12"/>
        <v>279</v>
      </c>
      <c r="E45" s="443">
        <f t="shared" si="12"/>
        <v>491</v>
      </c>
      <c r="F45" s="443">
        <f t="shared" si="12"/>
        <v>311</v>
      </c>
      <c r="G45" s="443">
        <f t="shared" si="12"/>
        <v>263</v>
      </c>
      <c r="H45" s="443">
        <f t="shared" si="12"/>
        <v>244</v>
      </c>
      <c r="I45" s="443">
        <f t="shared" si="12"/>
        <v>336</v>
      </c>
      <c r="J45" s="443">
        <f t="shared" si="12"/>
        <v>684</v>
      </c>
      <c r="K45" s="443">
        <f t="shared" si="12"/>
        <v>255</v>
      </c>
      <c r="L45" s="443">
        <f t="shared" si="12"/>
        <v>202</v>
      </c>
      <c r="M45" s="443">
        <f t="shared" si="12"/>
        <v>271</v>
      </c>
      <c r="N45" s="443">
        <f t="shared" si="12"/>
        <v>227</v>
      </c>
      <c r="O45" s="443">
        <f t="shared" si="12"/>
        <v>214</v>
      </c>
      <c r="P45" s="443">
        <f t="shared" si="12"/>
        <v>235</v>
      </c>
      <c r="Q45" s="443">
        <f t="shared" si="12"/>
        <v>194</v>
      </c>
      <c r="R45" s="443">
        <f t="shared" si="12"/>
        <v>258</v>
      </c>
      <c r="S45" s="443">
        <f t="shared" si="12"/>
        <v>174</v>
      </c>
      <c r="T45" s="443">
        <f t="shared" si="12"/>
        <v>288</v>
      </c>
      <c r="U45" s="443">
        <f t="shared" si="12"/>
        <v>341</v>
      </c>
      <c r="V45" s="443">
        <f t="shared" si="12"/>
        <v>312</v>
      </c>
      <c r="W45" s="443">
        <f t="shared" si="12"/>
        <v>262</v>
      </c>
      <c r="X45" s="443">
        <f t="shared" si="12"/>
        <v>286</v>
      </c>
      <c r="Y45" s="443">
        <f t="shared" si="12"/>
        <v>263</v>
      </c>
      <c r="Z45" s="443">
        <f t="shared" si="12"/>
        <v>238</v>
      </c>
      <c r="AA45" s="443">
        <f t="shared" si="12"/>
        <v>287</v>
      </c>
      <c r="AB45" s="443">
        <f t="shared" si="12"/>
        <v>207</v>
      </c>
      <c r="AC45" s="443">
        <f t="shared" si="12"/>
        <v>213</v>
      </c>
      <c r="AD45" s="443">
        <f t="shared" si="12"/>
        <v>180</v>
      </c>
      <c r="AE45" s="443">
        <f t="shared" si="12"/>
        <v>362</v>
      </c>
      <c r="AF45" s="443">
        <f t="shared" si="12"/>
        <v>262</v>
      </c>
      <c r="AG45" s="445">
        <f t="shared" si="12"/>
        <v>234</v>
      </c>
      <c r="AH45" s="409">
        <f>SUM(C45:AG45)</f>
        <v>8625</v>
      </c>
      <c r="AJ45" s="408"/>
      <c r="AK45" s="407"/>
    </row>
    <row r="46" spans="1:37" s="170" customFormat="1" ht="15.75" thickBot="1" x14ac:dyDescent="0.3">
      <c r="A46" s="169"/>
      <c r="B46" s="146" t="s">
        <v>77</v>
      </c>
      <c r="C46" s="147">
        <f t="shared" ref="C46:AG46" si="13">SUM(C32:C37,C39:C44)</f>
        <v>581</v>
      </c>
      <c r="D46" s="147">
        <f t="shared" si="13"/>
        <v>793</v>
      </c>
      <c r="E46" s="147">
        <f t="shared" si="13"/>
        <v>1068</v>
      </c>
      <c r="F46" s="147">
        <f t="shared" si="13"/>
        <v>799</v>
      </c>
      <c r="G46" s="147">
        <f t="shared" si="13"/>
        <v>604</v>
      </c>
      <c r="H46" s="147">
        <f t="shared" si="13"/>
        <v>684</v>
      </c>
      <c r="I46" s="147">
        <f t="shared" si="13"/>
        <v>777</v>
      </c>
      <c r="J46" s="147">
        <f t="shared" si="13"/>
        <v>684</v>
      </c>
      <c r="K46" s="147">
        <f t="shared" si="13"/>
        <v>740</v>
      </c>
      <c r="L46" s="147">
        <f t="shared" si="13"/>
        <v>508</v>
      </c>
      <c r="M46" s="147">
        <f t="shared" si="13"/>
        <v>633</v>
      </c>
      <c r="N46" s="147">
        <f t="shared" si="13"/>
        <v>615</v>
      </c>
      <c r="O46" s="147">
        <f t="shared" si="13"/>
        <v>603</v>
      </c>
      <c r="P46" s="147">
        <f t="shared" si="13"/>
        <v>666</v>
      </c>
      <c r="Q46" s="147">
        <f t="shared" si="13"/>
        <v>602</v>
      </c>
      <c r="R46" s="147">
        <f t="shared" si="13"/>
        <v>802</v>
      </c>
      <c r="S46" s="147">
        <f t="shared" si="13"/>
        <v>690</v>
      </c>
      <c r="T46" s="147">
        <f t="shared" si="13"/>
        <v>661</v>
      </c>
      <c r="U46" s="147">
        <f t="shared" si="13"/>
        <v>734</v>
      </c>
      <c r="V46" s="147">
        <f t="shared" si="13"/>
        <v>769</v>
      </c>
      <c r="W46" s="147">
        <f t="shared" si="13"/>
        <v>666</v>
      </c>
      <c r="X46" s="147">
        <f t="shared" si="13"/>
        <v>654</v>
      </c>
      <c r="Y46" s="147">
        <f t="shared" si="13"/>
        <v>687</v>
      </c>
      <c r="Z46" s="147">
        <f t="shared" si="13"/>
        <v>591</v>
      </c>
      <c r="AA46" s="147">
        <f t="shared" si="13"/>
        <v>572</v>
      </c>
      <c r="AB46" s="147">
        <f t="shared" si="13"/>
        <v>597</v>
      </c>
      <c r="AC46" s="147">
        <f t="shared" si="13"/>
        <v>579</v>
      </c>
      <c r="AD46" s="147">
        <f t="shared" si="13"/>
        <v>500</v>
      </c>
      <c r="AE46" s="147">
        <f t="shared" si="13"/>
        <v>559</v>
      </c>
      <c r="AF46" s="147">
        <f t="shared" si="13"/>
        <v>639</v>
      </c>
      <c r="AG46" s="263">
        <f t="shared" si="13"/>
        <v>645</v>
      </c>
      <c r="AH46" s="148">
        <f>SUM(AH32:AH37,AH39:AH44)</f>
        <v>20702</v>
      </c>
      <c r="AJ46" s="261">
        <f>AH46</f>
        <v>20702</v>
      </c>
      <c r="AK46" s="262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1" priority="1" operator="notEqual">
      <formula>0</formula>
    </cfRule>
  </conditionalFormatting>
  <conditionalFormatting sqref="C26:AG28">
    <cfRule type="cellIs" dxfId="0" priority="2" operator="notEqual">
      <formula>0</formula>
    </cfRule>
  </conditionalFormatting>
  <pageMargins left="0.25" right="0.25" top="0.75" bottom="0.75" header="0.3" footer="0.3"/>
  <pageSetup paperSize="17" scale="61" fitToHeight="4" orientation="landscape" verticalDpi="300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I29" sqref="I29"/>
    </sheetView>
  </sheetViews>
  <sheetFormatPr defaultColWidth="9.140625" defaultRowHeight="15" x14ac:dyDescent="0.25"/>
  <cols>
    <col min="1" max="1" width="13.42578125" style="59" bestFit="1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7" t="s">
        <v>225</v>
      </c>
      <c r="B1" s="255" t="str">
        <f>CONCATENATE('Cash Flow'!C1, "  ",'Cash Flow'!D1)</f>
        <v>July  2022</v>
      </c>
    </row>
    <row r="2" spans="1:5" ht="15.75" thickBot="1" x14ac:dyDescent="0.3"/>
    <row r="3" spans="1:5" x14ac:dyDescent="0.25">
      <c r="A3" s="251" t="s">
        <v>61</v>
      </c>
      <c r="B3" s="252" t="s">
        <v>229</v>
      </c>
      <c r="C3" s="128">
        <f>'Visitor Center'!AH3</f>
        <v>104.84</v>
      </c>
      <c r="D3" s="116"/>
    </row>
    <row r="4" spans="1:5" x14ac:dyDescent="0.25">
      <c r="A4" s="253" t="s">
        <v>224</v>
      </c>
      <c r="B4" s="254" t="s">
        <v>223</v>
      </c>
      <c r="C4" s="131">
        <f>'Visitor Center'!AH4</f>
        <v>1127.4100000000001</v>
      </c>
      <c r="D4" s="116"/>
    </row>
    <row r="5" spans="1:5" x14ac:dyDescent="0.25">
      <c r="A5" s="253"/>
      <c r="B5" s="254"/>
      <c r="C5" s="131"/>
      <c r="D5" s="116"/>
    </row>
    <row r="6" spans="1:5" x14ac:dyDescent="0.25">
      <c r="A6" s="253" t="s">
        <v>237</v>
      </c>
      <c r="B6" s="130" t="s">
        <v>228</v>
      </c>
      <c r="C6" s="131">
        <f>'Visitor Center'!AL11</f>
        <v>0</v>
      </c>
      <c r="D6" s="116"/>
    </row>
    <row r="7" spans="1:5" ht="15.75" thickBot="1" x14ac:dyDescent="0.3">
      <c r="A7" s="182"/>
      <c r="B7" s="183"/>
      <c r="C7" s="184"/>
      <c r="D7" s="255"/>
      <c r="E7" s="170"/>
    </row>
    <row r="8" spans="1:5" x14ac:dyDescent="0.25">
      <c r="A8" s="116"/>
      <c r="B8" s="249" t="s">
        <v>65</v>
      </c>
      <c r="C8" s="207"/>
      <c r="D8" s="250">
        <f>SUM(C3:C6)</f>
        <v>1232.25</v>
      </c>
    </row>
    <row r="9" spans="1:5" ht="15.75" thickBot="1" x14ac:dyDescent="0.3">
      <c r="C9" s="156"/>
    </row>
    <row r="10" spans="1:5" x14ac:dyDescent="0.25">
      <c r="A10" s="126" t="s">
        <v>60</v>
      </c>
      <c r="B10" s="127" t="s">
        <v>230</v>
      </c>
      <c r="C10" s="128">
        <f>'Visitor Center'!AL7</f>
        <v>305.39999999999998</v>
      </c>
    </row>
    <row r="11" spans="1:5" x14ac:dyDescent="0.25">
      <c r="A11" s="129" t="s">
        <v>60</v>
      </c>
      <c r="B11" s="130" t="s">
        <v>231</v>
      </c>
      <c r="C11" s="131">
        <f>'Visitor Center'!AM7</f>
        <v>3.2800000000000002</v>
      </c>
    </row>
    <row r="12" spans="1:5" x14ac:dyDescent="0.25">
      <c r="A12" s="129" t="s">
        <v>60</v>
      </c>
      <c r="B12" s="130" t="s">
        <v>232</v>
      </c>
      <c r="C12" s="131">
        <f>'Visitor Center'!AL8</f>
        <v>0</v>
      </c>
      <c r="E12" s="256">
        <f>D8-D17</f>
        <v>0</v>
      </c>
    </row>
    <row r="13" spans="1:5" x14ac:dyDescent="0.25">
      <c r="A13" s="129" t="s">
        <v>60</v>
      </c>
      <c r="B13" s="130" t="s">
        <v>233</v>
      </c>
      <c r="C13" s="131">
        <f>'Visitor Center'!AM8</f>
        <v>895.83</v>
      </c>
    </row>
    <row r="14" spans="1:5" x14ac:dyDescent="0.25">
      <c r="A14" s="129" t="s">
        <v>214</v>
      </c>
      <c r="B14" s="130" t="s">
        <v>234</v>
      </c>
      <c r="C14" s="131">
        <f>'Visitor Center'!AL13</f>
        <v>0</v>
      </c>
    </row>
    <row r="15" spans="1:5" x14ac:dyDescent="0.25">
      <c r="A15" s="129" t="s">
        <v>214</v>
      </c>
      <c r="B15" s="130" t="s">
        <v>235</v>
      </c>
      <c r="C15" s="131">
        <f>'Visitor Center'!AM13</f>
        <v>27.74</v>
      </c>
    </row>
    <row r="16" spans="1:5" ht="15.75" thickBot="1" x14ac:dyDescent="0.3">
      <c r="A16" s="182"/>
      <c r="B16" s="183"/>
      <c r="C16" s="184"/>
      <c r="D16" s="170"/>
    </row>
    <row r="17" spans="2:4" x14ac:dyDescent="0.25">
      <c r="B17" s="249" t="s">
        <v>66</v>
      </c>
      <c r="C17" s="207"/>
      <c r="D17" s="250">
        <f>SUM(C10:C15)</f>
        <v>1232.25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22" sqref="G22"/>
    </sheetView>
  </sheetViews>
  <sheetFormatPr defaultColWidth="9.140625"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2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7" t="s">
        <v>119</v>
      </c>
      <c r="B1" s="255" t="str">
        <f>CONCATENATE('Cash Flow'!C1, "  ",'Cash Flow'!D1)</f>
        <v>July  2022</v>
      </c>
    </row>
    <row r="2" spans="1:5" ht="15.75" thickBot="1" x14ac:dyDescent="0.3"/>
    <row r="3" spans="1:5" x14ac:dyDescent="0.25">
      <c r="A3" s="251" t="s">
        <v>61</v>
      </c>
      <c r="B3" s="252" t="s">
        <v>102</v>
      </c>
      <c r="C3" s="128">
        <f>'Box Canon'!AH3+'Box Canon'!AH9</f>
        <v>1030.8699999999999</v>
      </c>
      <c r="D3" s="116"/>
    </row>
    <row r="4" spans="1:5" x14ac:dyDescent="0.25">
      <c r="A4" s="253" t="s">
        <v>70</v>
      </c>
      <c r="B4" s="254" t="s">
        <v>71</v>
      </c>
      <c r="C4" s="131">
        <f>'Box Canon'!AH4+'Box Canon'!AH10</f>
        <v>87714</v>
      </c>
      <c r="D4" s="116"/>
    </row>
    <row r="5" spans="1:5" x14ac:dyDescent="0.25">
      <c r="A5" s="253" t="s">
        <v>81</v>
      </c>
      <c r="B5" s="254" t="s">
        <v>103</v>
      </c>
      <c r="C5" s="131">
        <f>'Box Canon'!AH5+'Box Canon'!AH11</f>
        <v>1030.1200000000001</v>
      </c>
      <c r="D5" s="116"/>
    </row>
    <row r="6" spans="1:5" x14ac:dyDescent="0.25">
      <c r="A6" s="253" t="s">
        <v>80</v>
      </c>
      <c r="B6" s="254" t="s">
        <v>104</v>
      </c>
      <c r="C6" s="131">
        <f>'Box Canon'!AH6+'Box Canon'!AH12</f>
        <v>10871.429999999998</v>
      </c>
      <c r="D6" s="116"/>
    </row>
    <row r="7" spans="1:5" x14ac:dyDescent="0.25">
      <c r="A7" s="253" t="s">
        <v>80</v>
      </c>
      <c r="B7" s="254" t="s">
        <v>82</v>
      </c>
      <c r="C7" s="131">
        <f>'Box Canon'!AH7+'Box Canon'!AH13</f>
        <v>36.44</v>
      </c>
      <c r="D7" s="116"/>
    </row>
    <row r="8" spans="1:5" x14ac:dyDescent="0.25">
      <c r="A8" s="253"/>
      <c r="B8" s="254"/>
      <c r="C8" s="131"/>
      <c r="D8" s="116"/>
    </row>
    <row r="9" spans="1:5" x14ac:dyDescent="0.25">
      <c r="A9" s="129" t="s">
        <v>85</v>
      </c>
      <c r="B9" s="130" t="s">
        <v>98</v>
      </c>
      <c r="C9" s="131">
        <f>-('Box Canon'!AH26+'Box Canon'!AH27)</f>
        <v>4.9999999999045031E-2</v>
      </c>
      <c r="D9" s="116"/>
    </row>
    <row r="10" spans="1:5" ht="15.75" thickBot="1" x14ac:dyDescent="0.3">
      <c r="A10" s="182"/>
      <c r="B10" s="183"/>
      <c r="C10" s="184"/>
      <c r="D10" s="255"/>
      <c r="E10" s="170"/>
    </row>
    <row r="11" spans="1:5" x14ac:dyDescent="0.25">
      <c r="A11" s="116"/>
      <c r="B11" s="249" t="s">
        <v>65</v>
      </c>
      <c r="C11" s="207"/>
      <c r="D11" s="250">
        <f>SUM(C3:C9)</f>
        <v>100682.90999999999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94</v>
      </c>
      <c r="C13" s="128">
        <f>'Box Canon'!AL20</f>
        <v>37986.05999999999</v>
      </c>
    </row>
    <row r="14" spans="1:5" x14ac:dyDescent="0.25">
      <c r="A14" s="129" t="s">
        <v>60</v>
      </c>
      <c r="B14" s="130" t="s">
        <v>96</v>
      </c>
      <c r="C14" s="131">
        <f>'Box Canon'!AM20</f>
        <v>5079.18</v>
      </c>
    </row>
    <row r="15" spans="1:5" x14ac:dyDescent="0.25">
      <c r="A15" s="129" t="s">
        <v>60</v>
      </c>
      <c r="B15" s="130" t="s">
        <v>95</v>
      </c>
      <c r="C15" s="131">
        <f>'Box Canon'!AL21</f>
        <v>0</v>
      </c>
      <c r="E15" s="256">
        <f>D11-D22</f>
        <v>0</v>
      </c>
    </row>
    <row r="16" spans="1:5" x14ac:dyDescent="0.25">
      <c r="A16" s="129" t="s">
        <v>60</v>
      </c>
      <c r="B16" s="130" t="s">
        <v>97</v>
      </c>
      <c r="C16" s="131">
        <f>'Box Canon'!AM21</f>
        <v>55889.610000000008</v>
      </c>
    </row>
    <row r="17" spans="1:4" x14ac:dyDescent="0.25">
      <c r="A17" s="129" t="s">
        <v>60</v>
      </c>
      <c r="B17" s="130" t="s">
        <v>220</v>
      </c>
      <c r="C17" s="131">
        <f>'Box Canon'!AL22</f>
        <v>0</v>
      </c>
    </row>
    <row r="18" spans="1:4" x14ac:dyDescent="0.25">
      <c r="A18" s="129" t="s">
        <v>60</v>
      </c>
      <c r="B18" s="130" t="s">
        <v>221</v>
      </c>
      <c r="C18" s="131">
        <f>'Box Canon'!AM22</f>
        <v>0</v>
      </c>
    </row>
    <row r="19" spans="1:4" x14ac:dyDescent="0.25">
      <c r="A19" s="129" t="s">
        <v>214</v>
      </c>
      <c r="B19" s="130" t="s">
        <v>215</v>
      </c>
      <c r="C19" s="131">
        <f>'Box Canon'!AL29</f>
        <v>0</v>
      </c>
    </row>
    <row r="20" spans="1:4" x14ac:dyDescent="0.25">
      <c r="A20" s="129" t="s">
        <v>214</v>
      </c>
      <c r="B20" s="130" t="s">
        <v>216</v>
      </c>
      <c r="C20" s="131">
        <f>'Box Canon'!AM29</f>
        <v>1728.0599999999997</v>
      </c>
    </row>
    <row r="21" spans="1:4" ht="15.75" thickBot="1" x14ac:dyDescent="0.3">
      <c r="A21" s="182"/>
      <c r="B21" s="183"/>
      <c r="C21" s="184"/>
      <c r="D21" s="170"/>
    </row>
    <row r="22" spans="1:4" x14ac:dyDescent="0.25">
      <c r="B22" s="249" t="s">
        <v>66</v>
      </c>
      <c r="C22" s="207"/>
      <c r="D22" s="250">
        <f>SUM(C13:C20)</f>
        <v>100682.91</v>
      </c>
    </row>
    <row r="23" spans="1:4" ht="15.75" thickBot="1" x14ac:dyDescent="0.3"/>
    <row r="24" spans="1:4" x14ac:dyDescent="0.25">
      <c r="B24" s="507" t="s">
        <v>57</v>
      </c>
      <c r="C24" s="508"/>
    </row>
    <row r="25" spans="1:4" x14ac:dyDescent="0.25">
      <c r="B25" s="143" t="s">
        <v>76</v>
      </c>
      <c r="C25" s="145">
        <f>'Box Canon'!AJ32</f>
        <v>12911</v>
      </c>
    </row>
    <row r="26" spans="1:4" x14ac:dyDescent="0.25">
      <c r="B26" s="143" t="s">
        <v>75</v>
      </c>
      <c r="C26" s="145">
        <f>'Box Canon'!AJ33</f>
        <v>4722</v>
      </c>
    </row>
    <row r="27" spans="1:4" x14ac:dyDescent="0.25">
      <c r="B27" s="143" t="s">
        <v>210</v>
      </c>
      <c r="C27" s="145">
        <f>'Box Canon'!AJ34</f>
        <v>359</v>
      </c>
    </row>
    <row r="28" spans="1:4" x14ac:dyDescent="0.25">
      <c r="B28" s="143" t="s">
        <v>73</v>
      </c>
      <c r="C28" s="145">
        <f>'Box Canon'!AJ35</f>
        <v>430</v>
      </c>
    </row>
    <row r="29" spans="1:4" x14ac:dyDescent="0.25">
      <c r="B29" s="143" t="s">
        <v>74</v>
      </c>
      <c r="C29" s="145">
        <f>'Box Canon'!AJ36</f>
        <v>1937</v>
      </c>
    </row>
    <row r="30" spans="1:4" x14ac:dyDescent="0.25">
      <c r="B30" s="143" t="s">
        <v>72</v>
      </c>
      <c r="C30" s="145">
        <f>'Box Canon'!AJ37</f>
        <v>343</v>
      </c>
    </row>
    <row r="31" spans="1:4" x14ac:dyDescent="0.25">
      <c r="B31" s="129"/>
      <c r="C31" s="246"/>
    </row>
    <row r="32" spans="1:4" ht="15.75" thickBot="1" x14ac:dyDescent="0.3">
      <c r="B32" s="247" t="s">
        <v>77</v>
      </c>
      <c r="C32" s="248">
        <f>SUM(C25:C30)</f>
        <v>20702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2"/>
  <sheetViews>
    <sheetView workbookViewId="0">
      <selection activeCell="I37" sqref="I37"/>
    </sheetView>
  </sheetViews>
  <sheetFormatPr defaultColWidth="9.140625"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6" t="s">
        <v>118</v>
      </c>
      <c r="B1" s="179" t="str">
        <f>CONCATENATE('Cash Flow'!C1, "  ",'Cash Flow'!D1)</f>
        <v>July  2022</v>
      </c>
      <c r="C1" s="180"/>
    </row>
    <row r="2" spans="1:6" s="181" customFormat="1" ht="5.0999999999999996" customHeight="1" thickBot="1" x14ac:dyDescent="0.3">
      <c r="A2" s="236"/>
      <c r="B2" s="179"/>
      <c r="C2" s="180"/>
    </row>
    <row r="3" spans="1:6" s="181" customFormat="1" ht="14.1" customHeight="1" thickBot="1" x14ac:dyDescent="0.3">
      <c r="A3" s="510" t="s">
        <v>186</v>
      </c>
      <c r="B3" s="511"/>
      <c r="C3" s="512"/>
    </row>
    <row r="4" spans="1:6" s="181" customFormat="1" ht="24" customHeight="1" x14ac:dyDescent="0.25">
      <c r="A4" s="89" t="s">
        <v>30</v>
      </c>
      <c r="B4" s="84" t="s">
        <v>31</v>
      </c>
      <c r="C4" s="186">
        <f>Pool!AH4+Pool!AH7+Pool!AH5</f>
        <v>324720.59999999992</v>
      </c>
      <c r="D4" s="516" t="s">
        <v>177</v>
      </c>
      <c r="E4" s="517"/>
      <c r="F4" s="517"/>
    </row>
    <row r="5" spans="1:6" ht="14.1" customHeight="1" x14ac:dyDescent="0.25">
      <c r="A5" s="90" t="s">
        <v>178</v>
      </c>
      <c r="B5" s="91" t="s">
        <v>63</v>
      </c>
      <c r="C5" s="187">
        <f>Pool!AH6</f>
        <v>15626.999999999998</v>
      </c>
      <c r="D5" s="515"/>
      <c r="E5" s="509"/>
      <c r="F5" s="509"/>
    </row>
    <row r="6" spans="1:6" ht="14.1" customHeight="1" x14ac:dyDescent="0.25">
      <c r="A6" s="90" t="s">
        <v>156</v>
      </c>
      <c r="B6" s="91" t="s">
        <v>197</v>
      </c>
      <c r="C6" s="187">
        <f>Pool!AH8</f>
        <v>75246.5</v>
      </c>
      <c r="D6" s="518" t="s">
        <v>200</v>
      </c>
      <c r="E6" s="519"/>
      <c r="F6" s="519"/>
    </row>
    <row r="7" spans="1:6" ht="14.1" customHeight="1" x14ac:dyDescent="0.25">
      <c r="A7" s="90" t="s">
        <v>161</v>
      </c>
      <c r="B7" s="91" t="s">
        <v>162</v>
      </c>
      <c r="C7" s="187">
        <f>Pool!AH9</f>
        <v>0</v>
      </c>
      <c r="D7" s="515"/>
      <c r="E7" s="509"/>
      <c r="F7" s="509"/>
    </row>
    <row r="8" spans="1:6" ht="14.1" customHeight="1" x14ac:dyDescent="0.25">
      <c r="A8" s="90" t="s">
        <v>163</v>
      </c>
      <c r="B8" s="91" t="s">
        <v>171</v>
      </c>
      <c r="C8" s="187">
        <f>Pool!AH10</f>
        <v>2</v>
      </c>
      <c r="D8" s="515"/>
      <c r="E8" s="509"/>
      <c r="F8" s="509"/>
    </row>
    <row r="9" spans="1:6" ht="14.1" customHeight="1" x14ac:dyDescent="0.25">
      <c r="A9" s="90" t="s">
        <v>34</v>
      </c>
      <c r="B9" s="91" t="s">
        <v>35</v>
      </c>
      <c r="C9" s="187">
        <f>Pool!AH14</f>
        <v>2312</v>
      </c>
      <c r="D9" s="515"/>
      <c r="E9" s="509"/>
      <c r="F9" s="509"/>
    </row>
    <row r="10" spans="1:6" ht="14.1" customHeight="1" x14ac:dyDescent="0.25">
      <c r="A10" s="90" t="s">
        <v>36</v>
      </c>
      <c r="B10" s="91" t="s">
        <v>37</v>
      </c>
      <c r="C10" s="187">
        <f>Pool!AH15</f>
        <v>25991.600000000002</v>
      </c>
      <c r="D10" s="515"/>
      <c r="E10" s="509"/>
      <c r="F10" s="509"/>
    </row>
    <row r="11" spans="1:6" ht="14.1" customHeight="1" x14ac:dyDescent="0.25">
      <c r="A11" s="90" t="s">
        <v>203</v>
      </c>
      <c r="B11" s="91" t="s">
        <v>113</v>
      </c>
      <c r="C11" s="187">
        <f>Pool!AH16</f>
        <v>0</v>
      </c>
      <c r="D11" s="515"/>
      <c r="E11" s="509"/>
      <c r="F11" s="509"/>
    </row>
    <row r="12" spans="1:6" ht="14.1" customHeight="1" x14ac:dyDescent="0.25">
      <c r="A12" s="90" t="s">
        <v>78</v>
      </c>
      <c r="B12" s="91" t="s">
        <v>198</v>
      </c>
      <c r="C12" s="187">
        <f>Pool!AH17</f>
        <v>3075.5</v>
      </c>
      <c r="D12" s="515" t="s">
        <v>201</v>
      </c>
      <c r="E12" s="509"/>
      <c r="F12" s="509"/>
    </row>
    <row r="13" spans="1:6" ht="14.1" customHeight="1" x14ac:dyDescent="0.25">
      <c r="A13" s="90" t="s">
        <v>38</v>
      </c>
      <c r="B13" s="91" t="s">
        <v>39</v>
      </c>
      <c r="C13" s="187">
        <f>Pool!AH19</f>
        <v>0</v>
      </c>
      <c r="D13" s="515"/>
      <c r="E13" s="509"/>
      <c r="F13" s="509"/>
    </row>
    <row r="14" spans="1:6" ht="14.1" customHeight="1" x14ac:dyDescent="0.25">
      <c r="A14" s="90" t="s">
        <v>40</v>
      </c>
      <c r="B14" s="91" t="s">
        <v>41</v>
      </c>
      <c r="C14" s="187">
        <f>Pool!AH21</f>
        <v>270</v>
      </c>
      <c r="D14" s="515"/>
      <c r="E14" s="509"/>
      <c r="F14" s="509"/>
    </row>
    <row r="15" spans="1:6" ht="14.1" customHeight="1" x14ac:dyDescent="0.25">
      <c r="A15" s="90" t="s">
        <v>165</v>
      </c>
      <c r="B15" s="91" t="s">
        <v>166</v>
      </c>
      <c r="C15" s="187">
        <f>Pool!AH20</f>
        <v>3150</v>
      </c>
      <c r="D15" s="515"/>
      <c r="E15" s="509"/>
      <c r="F15" s="509"/>
    </row>
    <row r="16" spans="1:6" ht="14.1" customHeight="1" x14ac:dyDescent="0.25">
      <c r="A16" s="90" t="s">
        <v>42</v>
      </c>
      <c r="B16" s="91" t="s">
        <v>43</v>
      </c>
      <c r="C16" s="187">
        <f>Pool!AH22</f>
        <v>0</v>
      </c>
      <c r="D16" s="515"/>
      <c r="E16" s="509"/>
      <c r="F16" s="509"/>
    </row>
    <row r="17" spans="1:7" ht="14.1" hidden="1" customHeight="1" x14ac:dyDescent="0.25">
      <c r="A17" s="90" t="s">
        <v>44</v>
      </c>
      <c r="B17" s="91" t="s">
        <v>45</v>
      </c>
      <c r="C17" s="187">
        <f>Pool!AH23</f>
        <v>0</v>
      </c>
      <c r="D17" s="515"/>
      <c r="E17" s="509"/>
      <c r="F17" s="509"/>
    </row>
    <row r="18" spans="1:7" ht="14.1" hidden="1" customHeight="1" x14ac:dyDescent="0.25">
      <c r="A18" s="90" t="s">
        <v>46</v>
      </c>
      <c r="B18" s="91" t="s">
        <v>47</v>
      </c>
      <c r="C18" s="187">
        <f>Pool!AH24</f>
        <v>0</v>
      </c>
      <c r="D18" s="515"/>
      <c r="E18" s="509"/>
      <c r="F18" s="509"/>
    </row>
    <row r="19" spans="1:7" ht="14.1" hidden="1" customHeight="1" x14ac:dyDescent="0.25">
      <c r="A19" s="90" t="s">
        <v>48</v>
      </c>
      <c r="B19" s="91" t="s">
        <v>49</v>
      </c>
      <c r="C19" s="187">
        <f>Pool!AH25</f>
        <v>0</v>
      </c>
      <c r="D19" s="515"/>
      <c r="E19" s="509"/>
      <c r="F19" s="509"/>
    </row>
    <row r="20" spans="1:7" ht="14.1" customHeight="1" x14ac:dyDescent="0.25">
      <c r="A20" s="90" t="s">
        <v>50</v>
      </c>
      <c r="B20" s="91" t="s">
        <v>51</v>
      </c>
      <c r="C20" s="187">
        <f>Pool!AH26</f>
        <v>0</v>
      </c>
      <c r="D20" s="515"/>
      <c r="E20" s="509"/>
      <c r="F20" s="509"/>
    </row>
    <row r="21" spans="1:7" ht="14.1" customHeight="1" thickBot="1" x14ac:dyDescent="0.3">
      <c r="A21" s="81" t="s">
        <v>52</v>
      </c>
      <c r="B21" s="94" t="s">
        <v>53</v>
      </c>
      <c r="C21" s="188">
        <f>Pool!AH27</f>
        <v>0</v>
      </c>
      <c r="D21" s="515"/>
      <c r="E21" s="509"/>
      <c r="F21" s="509"/>
    </row>
    <row r="22" spans="1:7" ht="14.1" customHeight="1" x14ac:dyDescent="0.25">
      <c r="A22" s="190"/>
      <c r="B22" s="208" t="s">
        <v>65</v>
      </c>
      <c r="C22" s="189">
        <f>C4+C5+C6+C7+C8+C9+C10+C11+C12+C15+C14</f>
        <v>450395.1999999999</v>
      </c>
      <c r="D22" s="515" t="s">
        <v>174</v>
      </c>
      <c r="E22" s="509"/>
      <c r="F22" s="509"/>
    </row>
    <row r="23" spans="1:7" ht="5.0999999999999996" customHeight="1" thickBot="1" x14ac:dyDescent="0.3">
      <c r="A23" s="116"/>
      <c r="B23" s="116"/>
      <c r="C23" s="116"/>
      <c r="F23" s="211"/>
      <c r="G23" s="211"/>
    </row>
    <row r="24" spans="1:7" ht="14.1" customHeight="1" thickBot="1" x14ac:dyDescent="0.3">
      <c r="A24" s="510" t="s">
        <v>179</v>
      </c>
      <c r="B24" s="511"/>
      <c r="C24" s="512"/>
    </row>
    <row r="25" spans="1:7" ht="14.1" customHeight="1" x14ac:dyDescent="0.25">
      <c r="A25" s="126" t="s">
        <v>61</v>
      </c>
      <c r="B25" s="396" t="s">
        <v>62</v>
      </c>
      <c r="C25" s="397">
        <f>Pool!AH3</f>
        <v>2518.9499999999998</v>
      </c>
      <c r="D25" s="515"/>
      <c r="E25" s="509"/>
      <c r="F25" s="509"/>
    </row>
    <row r="26" spans="1:7" ht="14.1" customHeight="1" x14ac:dyDescent="0.25">
      <c r="A26" s="129" t="s">
        <v>157</v>
      </c>
      <c r="B26" s="398" t="s">
        <v>158</v>
      </c>
      <c r="C26" s="400">
        <f>Pool!AH11</f>
        <v>0</v>
      </c>
      <c r="D26" s="515" t="s">
        <v>184</v>
      </c>
      <c r="E26" s="509"/>
      <c r="F26" s="509"/>
    </row>
    <row r="27" spans="1:7" ht="14.1" customHeight="1" x14ac:dyDescent="0.25">
      <c r="A27" s="129" t="s">
        <v>167</v>
      </c>
      <c r="B27" s="398" t="s">
        <v>168</v>
      </c>
      <c r="C27" s="400">
        <f>Pool!AH12</f>
        <v>0</v>
      </c>
      <c r="D27" s="515" t="s">
        <v>172</v>
      </c>
      <c r="E27" s="509"/>
      <c r="F27" s="509"/>
    </row>
    <row r="28" spans="1:7" ht="14.1" customHeight="1" x14ac:dyDescent="0.25">
      <c r="A28" s="129" t="s">
        <v>169</v>
      </c>
      <c r="B28" s="398" t="s">
        <v>170</v>
      </c>
      <c r="C28" s="400">
        <f>Pool!AH13</f>
        <v>0</v>
      </c>
      <c r="D28" s="515" t="s">
        <v>173</v>
      </c>
      <c r="E28" s="509"/>
      <c r="F28" s="509"/>
    </row>
    <row r="29" spans="1:7" ht="14.1" customHeight="1" thickBot="1" x14ac:dyDescent="0.3">
      <c r="A29" s="135" t="s">
        <v>111</v>
      </c>
      <c r="B29" s="399" t="s">
        <v>87</v>
      </c>
      <c r="C29" s="401">
        <f>Pool!AH28</f>
        <v>0</v>
      </c>
      <c r="D29" s="515" t="s">
        <v>180</v>
      </c>
      <c r="E29" s="509"/>
      <c r="F29" s="509"/>
    </row>
    <row r="30" spans="1:7" ht="14.1" customHeight="1" x14ac:dyDescent="0.25">
      <c r="A30" s="116"/>
      <c r="B30" s="402" t="s">
        <v>181</v>
      </c>
      <c r="C30" s="403">
        <f>SUM(C25:C29)</f>
        <v>2518.9499999999998</v>
      </c>
      <c r="F30" s="211"/>
    </row>
    <row r="31" spans="1:7" ht="5.0999999999999996" customHeight="1" x14ac:dyDescent="0.25">
      <c r="A31" s="116"/>
      <c r="B31" s="404"/>
      <c r="C31" s="403"/>
      <c r="F31" s="211"/>
    </row>
    <row r="32" spans="1:7" ht="14.1" customHeight="1" x14ac:dyDescent="0.25">
      <c r="A32" s="116"/>
      <c r="B32" s="405" t="s">
        <v>182</v>
      </c>
      <c r="C32" s="406">
        <f>C30+C22</f>
        <v>452914.14999999991</v>
      </c>
      <c r="D32" s="509" t="s">
        <v>183</v>
      </c>
      <c r="E32" s="509"/>
      <c r="F32" s="509"/>
    </row>
    <row r="33" spans="1:6" ht="5.0999999999999996" customHeight="1" thickBot="1" x14ac:dyDescent="0.3">
      <c r="A33" s="116"/>
      <c r="B33" s="116"/>
      <c r="C33" s="116"/>
    </row>
    <row r="34" spans="1:6" ht="14.1" customHeight="1" thickBot="1" x14ac:dyDescent="0.3">
      <c r="A34" s="510" t="s">
        <v>185</v>
      </c>
      <c r="B34" s="511"/>
      <c r="C34" s="512"/>
    </row>
    <row r="35" spans="1:6" ht="14.1" customHeight="1" x14ac:dyDescent="0.25">
      <c r="A35" s="126" t="s">
        <v>60</v>
      </c>
      <c r="B35" s="127" t="s">
        <v>88</v>
      </c>
      <c r="C35" s="157">
        <f>Pool!AL33</f>
        <v>60735.419999999991</v>
      </c>
    </row>
    <row r="36" spans="1:6" ht="14.1" customHeight="1" x14ac:dyDescent="0.25">
      <c r="A36" s="129" t="s">
        <v>60</v>
      </c>
      <c r="B36" s="130" t="s">
        <v>90</v>
      </c>
      <c r="C36" s="158">
        <f>Pool!AM33</f>
        <v>7550.23</v>
      </c>
    </row>
    <row r="37" spans="1:6" ht="14.1" customHeight="1" x14ac:dyDescent="0.25">
      <c r="A37" s="129" t="s">
        <v>60</v>
      </c>
      <c r="B37" s="130" t="s">
        <v>89</v>
      </c>
      <c r="C37" s="158">
        <f>Pool!AL34</f>
        <v>0</v>
      </c>
    </row>
    <row r="38" spans="1:6" ht="14.1" customHeight="1" x14ac:dyDescent="0.25">
      <c r="A38" s="129" t="s">
        <v>60</v>
      </c>
      <c r="B38" s="130" t="s">
        <v>91</v>
      </c>
      <c r="C38" s="158">
        <f>Pool!AM34</f>
        <v>372505.8899999999</v>
      </c>
      <c r="D38" s="267"/>
      <c r="E38" s="211"/>
    </row>
    <row r="39" spans="1:6" ht="14.1" customHeight="1" x14ac:dyDescent="0.25">
      <c r="A39" s="129" t="s">
        <v>60</v>
      </c>
      <c r="B39" s="130" t="s">
        <v>114</v>
      </c>
      <c r="C39" s="158">
        <f>Pool!AL35</f>
        <v>0</v>
      </c>
      <c r="D39" s="268"/>
      <c r="E39" s="211"/>
    </row>
    <row r="40" spans="1:6" ht="14.1" customHeight="1" x14ac:dyDescent="0.25">
      <c r="A40" s="129" t="s">
        <v>60</v>
      </c>
      <c r="B40" s="130" t="s">
        <v>115</v>
      </c>
      <c r="C40" s="158">
        <f>Pool!AM35</f>
        <v>0</v>
      </c>
      <c r="E40" s="211"/>
    </row>
    <row r="41" spans="1:6" ht="14.1" customHeight="1" x14ac:dyDescent="0.25">
      <c r="A41" s="129" t="s">
        <v>205</v>
      </c>
      <c r="B41" s="130" t="s">
        <v>207</v>
      </c>
      <c r="C41" s="158">
        <f>Pool!AL45</f>
        <v>0</v>
      </c>
      <c r="E41" s="211"/>
    </row>
    <row r="42" spans="1:6" ht="14.1" customHeight="1" x14ac:dyDescent="0.25">
      <c r="A42" s="129" t="s">
        <v>205</v>
      </c>
      <c r="B42" s="130" t="s">
        <v>208</v>
      </c>
      <c r="C42" s="158">
        <f>Pool!AM45</f>
        <v>11590.449999999999</v>
      </c>
      <c r="E42" s="211"/>
    </row>
    <row r="43" spans="1:6" ht="14.1" hidden="1" customHeight="1" x14ac:dyDescent="0.25">
      <c r="A43" s="129" t="s">
        <v>60</v>
      </c>
      <c r="B43" s="130" t="s">
        <v>116</v>
      </c>
      <c r="C43" s="158">
        <f>Pool!AL36</f>
        <v>0</v>
      </c>
      <c r="E43" s="211"/>
    </row>
    <row r="44" spans="1:6" ht="14.1" hidden="1" customHeight="1" x14ac:dyDescent="0.25">
      <c r="A44" s="129" t="s">
        <v>60</v>
      </c>
      <c r="B44" s="130" t="s">
        <v>117</v>
      </c>
      <c r="C44" s="158">
        <f>Pool!AM36</f>
        <v>0</v>
      </c>
      <c r="E44" s="211"/>
    </row>
    <row r="45" spans="1:6" ht="14.1" customHeight="1" x14ac:dyDescent="0.25">
      <c r="A45" s="129" t="s">
        <v>32</v>
      </c>
      <c r="B45" s="130" t="s">
        <v>92</v>
      </c>
      <c r="C45" s="158">
        <f>Pool!AL43</f>
        <v>451.15999999998166</v>
      </c>
      <c r="D45" s="513"/>
      <c r="E45" s="514"/>
      <c r="F45" s="514"/>
    </row>
    <row r="46" spans="1:6" ht="14.1" customHeight="1" x14ac:dyDescent="0.25">
      <c r="A46" s="362" t="s">
        <v>68</v>
      </c>
      <c r="B46" s="363" t="s">
        <v>93</v>
      </c>
      <c r="C46" s="381">
        <f>Pool!AL37</f>
        <v>45</v>
      </c>
    </row>
    <row r="47" spans="1:6" ht="14.1" customHeight="1" thickBot="1" x14ac:dyDescent="0.3">
      <c r="A47" s="135" t="s">
        <v>111</v>
      </c>
      <c r="B47" s="136" t="s">
        <v>176</v>
      </c>
      <c r="C47" s="159">
        <f>Pool!AL38</f>
        <v>36</v>
      </c>
    </row>
    <row r="48" spans="1:6" ht="12.75" customHeight="1" x14ac:dyDescent="0.25">
      <c r="A48" s="206"/>
      <c r="B48" s="209" t="s">
        <v>66</v>
      </c>
      <c r="C48" s="210">
        <f>SUM(C35:C47)</f>
        <v>452914.14999999991</v>
      </c>
    </row>
    <row r="49" spans="1:5" ht="5.0999999999999996" customHeight="1" thickBot="1" x14ac:dyDescent="0.3">
      <c r="D49" s="210"/>
      <c r="E49" s="211"/>
    </row>
    <row r="50" spans="1:5" ht="14.1" customHeight="1" x14ac:dyDescent="0.25">
      <c r="B50" s="126" t="s">
        <v>57</v>
      </c>
      <c r="C50" s="237">
        <f>Pool!AJ47</f>
        <v>22839</v>
      </c>
    </row>
    <row r="51" spans="1:5" ht="14.1" customHeight="1" x14ac:dyDescent="0.25">
      <c r="B51" s="129" t="s">
        <v>58</v>
      </c>
      <c r="C51" s="238">
        <f>Pool!AJ48</f>
        <v>3447</v>
      </c>
    </row>
    <row r="52" spans="1:5" ht="14.1" customHeight="1" thickBot="1" x14ac:dyDescent="0.3">
      <c r="B52" s="239" t="s">
        <v>108</v>
      </c>
      <c r="C52" s="240">
        <f>C50+C51</f>
        <v>26286</v>
      </c>
    </row>
    <row r="53" spans="1:5" ht="5.0999999999999996" customHeight="1" thickBot="1" x14ac:dyDescent="0.3"/>
    <row r="54" spans="1:5" ht="14.1" customHeight="1" thickBot="1" x14ac:dyDescent="0.3">
      <c r="B54" s="241" t="s">
        <v>120</v>
      </c>
      <c r="C54" s="242">
        <f>Pool!AJ54</f>
        <v>14.239349568405052</v>
      </c>
    </row>
    <row r="55" spans="1:5" ht="5.0999999999999996" customHeight="1" thickBot="1" x14ac:dyDescent="0.3"/>
    <row r="56" spans="1:5" ht="14.1" customHeight="1" thickBot="1" x14ac:dyDescent="0.3">
      <c r="A56" s="265"/>
      <c r="B56" s="300" t="s">
        <v>132</v>
      </c>
      <c r="C56" s="301" t="s">
        <v>143</v>
      </c>
    </row>
    <row r="57" spans="1:5" ht="14.1" customHeight="1" x14ac:dyDescent="0.25">
      <c r="B57" s="83" t="s">
        <v>137</v>
      </c>
      <c r="C57" s="312">
        <f>Pool!AJ57</f>
        <v>98</v>
      </c>
    </row>
    <row r="58" spans="1:5" ht="14.1" customHeight="1" x14ac:dyDescent="0.25">
      <c r="A58" s="265"/>
      <c r="B58" s="313" t="s">
        <v>138</v>
      </c>
      <c r="C58" s="314">
        <f>Pool!AJ58</f>
        <v>88.714285714285708</v>
      </c>
    </row>
    <row r="59" spans="1:5" ht="14.1" customHeight="1" x14ac:dyDescent="0.25">
      <c r="B59" s="313" t="s">
        <v>140</v>
      </c>
      <c r="C59" s="314">
        <f>Pool!AJ59</f>
        <v>80.142857142857139</v>
      </c>
    </row>
    <row r="60" spans="1:5" ht="14.1" customHeight="1" thickBot="1" x14ac:dyDescent="0.3">
      <c r="B60" s="315" t="s">
        <v>144</v>
      </c>
      <c r="C60" s="316">
        <f>Pool!AJ60</f>
        <v>0</v>
      </c>
    </row>
    <row r="61" spans="1:5" x14ac:dyDescent="0.25">
      <c r="A61" s="377"/>
      <c r="B61" s="377"/>
      <c r="C61" s="377"/>
      <c r="E61" s="377"/>
    </row>
    <row r="62" spans="1:5" x14ac:dyDescent="0.25">
      <c r="D62" s="377"/>
    </row>
  </sheetData>
  <sheetProtection formatCells="0" formatColumns="0" formatRows="0" insertColumns="0" insertRows="0" insertHyperlinks="0" deleteColumns="0" deleteRows="0" sort="0" autoFilter="0" pivotTables="0"/>
  <mergeCells count="29">
    <mergeCell ref="D4:F4"/>
    <mergeCell ref="D6:F6"/>
    <mergeCell ref="D12:F12"/>
    <mergeCell ref="D8:F8"/>
    <mergeCell ref="D7:F7"/>
    <mergeCell ref="D5:F5"/>
    <mergeCell ref="D19:F19"/>
    <mergeCell ref="D20:F20"/>
    <mergeCell ref="D9:F9"/>
    <mergeCell ref="D10:F10"/>
    <mergeCell ref="D11:F11"/>
    <mergeCell ref="D13:F13"/>
    <mergeCell ref="D14:F14"/>
    <mergeCell ref="D32:F32"/>
    <mergeCell ref="A34:C34"/>
    <mergeCell ref="A3:C3"/>
    <mergeCell ref="D45:F45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Pool Stats</vt:lpstr>
      <vt:lpstr>Visitor Center</vt:lpstr>
      <vt:lpstr>Box Canon</vt:lpstr>
      <vt:lpstr>Visitor Center JE</vt:lpstr>
      <vt:lpstr>Box Cañon JE</vt:lpstr>
      <vt:lpstr>POOL JE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2022-09-13T18:39:33Z</cp:lastPrinted>
  <dcterms:created xsi:type="dcterms:W3CDTF">2017-08-14T15:26:56Z</dcterms:created>
  <dcterms:modified xsi:type="dcterms:W3CDTF">2022-12-08T18:02:55Z</dcterms:modified>
</cp:coreProperties>
</file>