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4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3" i="9" l="1"/>
  <c r="AB41" i="9"/>
  <c r="AB40" i="9"/>
  <c r="AB39" i="9"/>
  <c r="AB44" i="9"/>
  <c r="AM20" i="9" l="1"/>
  <c r="AL20" i="9"/>
  <c r="AM45" i="3"/>
  <c r="AM34" i="3" s="1"/>
  <c r="AL45" i="3"/>
  <c r="AL34" i="3"/>
  <c r="AM33" i="3"/>
  <c r="AL33" i="3"/>
  <c r="AM15" i="10" l="1"/>
  <c r="AM10" i="10" s="1"/>
  <c r="AL15" i="10"/>
  <c r="AL10" i="10" s="1"/>
  <c r="AM9" i="10"/>
  <c r="AL9" i="10"/>
  <c r="I30" i="9" l="1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D30" i="9"/>
  <c r="E30" i="9"/>
  <c r="F30" i="9"/>
  <c r="G30" i="9"/>
  <c r="H30" i="9"/>
  <c r="AF46" i="3"/>
  <c r="AG44" i="9" l="1"/>
  <c r="AG43" i="9"/>
  <c r="AG41" i="9"/>
  <c r="AG40" i="9"/>
  <c r="AG39" i="9"/>
  <c r="AF44" i="9"/>
  <c r="AF43" i="9"/>
  <c r="AF41" i="9"/>
  <c r="AF40" i="9"/>
  <c r="AF39" i="9"/>
  <c r="Z33" i="3"/>
  <c r="AA18" i="9" l="1"/>
  <c r="AC44" i="9"/>
  <c r="AC43" i="9"/>
  <c r="AC41" i="9"/>
  <c r="AC40" i="9"/>
  <c r="AC39" i="9"/>
  <c r="AA44" i="9"/>
  <c r="AA43" i="9"/>
  <c r="AA41" i="9"/>
  <c r="AA40" i="9"/>
  <c r="AA39" i="9"/>
  <c r="AE44" i="9"/>
  <c r="AE43" i="9"/>
  <c r="AE41" i="9"/>
  <c r="AE40" i="9"/>
  <c r="AE39" i="9"/>
  <c r="AD44" i="9"/>
  <c r="AD43" i="9"/>
  <c r="AD40" i="9"/>
  <c r="AD39" i="9"/>
  <c r="S20" i="3" l="1"/>
  <c r="S18" i="9" l="1"/>
  <c r="N32" i="9"/>
  <c r="N18" i="9"/>
  <c r="N4" i="9"/>
  <c r="Q15" i="3" l="1"/>
  <c r="H44" i="9" l="1"/>
  <c r="H43" i="9"/>
  <c r="H39" i="9"/>
  <c r="AM35" i="3" l="1"/>
  <c r="AL35" i="3"/>
  <c r="AM22" i="9"/>
  <c r="AL22" i="9"/>
  <c r="AM29" i="9"/>
  <c r="AM21" i="9" s="1"/>
  <c r="AL29" i="9"/>
  <c r="AL21" i="9" s="1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H5" i="10"/>
  <c r="C5" i="11" s="1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AH22" i="9" l="1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C34" i="9"/>
  <c r="D34" i="9"/>
  <c r="J34" i="9"/>
  <c r="K34" i="9"/>
  <c r="Y34" i="9"/>
  <c r="AD34" i="9"/>
  <c r="AD41" i="9" s="1"/>
  <c r="D33" i="9"/>
  <c r="H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G44" i="9"/>
  <c r="F44" i="9"/>
  <c r="E44" i="9"/>
  <c r="D44" i="9"/>
  <c r="C44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G43" i="9"/>
  <c r="F43" i="9"/>
  <c r="E43" i="9"/>
  <c r="D43" i="9"/>
  <c r="C43" i="9"/>
  <c r="AG42" i="9"/>
  <c r="AF42" i="9"/>
  <c r="AE42" i="9"/>
  <c r="AD42" i="9"/>
  <c r="AC42" i="9"/>
  <c r="AB42" i="9"/>
  <c r="AB45" i="9" s="1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G39" i="9"/>
  <c r="F39" i="9"/>
  <c r="E39" i="9"/>
  <c r="D39" i="9"/>
  <c r="D32" i="9"/>
  <c r="D35" i="9"/>
  <c r="F35" i="9"/>
  <c r="H35" i="9"/>
  <c r="I35" i="9"/>
  <c r="K35" i="9"/>
  <c r="L35" i="9"/>
  <c r="M35" i="9"/>
  <c r="N35" i="9"/>
  <c r="O35" i="9"/>
  <c r="P35" i="9"/>
  <c r="Q35" i="9"/>
  <c r="T35" i="9"/>
  <c r="V35" i="9"/>
  <c r="W35" i="9"/>
  <c r="Y38" i="9"/>
  <c r="Z35" i="9"/>
  <c r="AA35" i="9"/>
  <c r="AB35" i="9"/>
  <c r="AC35" i="9"/>
  <c r="AD35" i="9"/>
  <c r="AE35" i="9"/>
  <c r="AF35" i="9"/>
  <c r="AG35" i="9"/>
  <c r="D36" i="9"/>
  <c r="D37" i="9"/>
  <c r="W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N46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Q15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one slide admission rung up, guessing it was for flip flops since slides aren't open yet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Sara W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Dee W
Sara W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Dee W
Lilly G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Sara W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Sara W
Lilly G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Sara W
Dee W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Sara W
Glynn W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Dee W
Lilly G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Dee W
Lilly G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Sara W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Sheri H
Sara W $1.00 over</t>
        </r>
      </text>
    </comment>
    <comment ref="O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Sara W $0.40 over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G;ynn W $4.00 over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
Sara W $0.55 over</t>
        </r>
      </text>
    </comment>
    <comment ref="R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Steve S
Lilly G</t>
        </r>
      </text>
    </comment>
    <comment ref="S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Steve S
Dee W</t>
        </r>
      </text>
    </comment>
    <comment ref="T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
Glynn W $8.00 over
Steve S $0.10 over</t>
        </r>
      </text>
    </comment>
    <comment ref="U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Kathy Carkhuff (on Sara's login
Sara W
Olivia C
Lauren S $1.50 over</t>
        </r>
      </text>
    </comment>
    <comment ref="V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Kathy C
Lauren S</t>
        </r>
      </text>
    </comment>
    <comment ref="W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Kathy C $2.00 short
Glynn W
Sara W</t>
        </r>
      </text>
    </comment>
    <comment ref="X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Lauren S
Glynn W $1.00 over</t>
        </r>
      </text>
    </comment>
    <comment ref="Y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Dee W
Lilly G</t>
        </r>
      </text>
    </comment>
    <comment ref="Z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Steve S
Dee W
Deposit short $8.00</t>
        </r>
      </text>
    </comment>
    <comment ref="AA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rang up transaction for $524, should have been $4.00, refunded 5/27, $13.70 over
Steve S
Kathy C
Sheri H
Lilly G
</t>
        </r>
      </text>
    </comment>
    <comment ref="AB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Olivia C $5.25 over
Lauren S $8.00 short (was $2 over, but there was a $10 sale after report was printed)
Lilly G
Sara W
Kathy C $26.00 over</t>
        </r>
      </text>
    </comment>
    <comment ref="A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$520 refund from 5/25
Lauren S $45 over
Kathy C
Sara W $0.05 over
deposit $2.00 short</t>
        </r>
      </text>
    </comment>
    <comment ref="A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$1.05 over
Sara W
Lauren S
Kathy C</t>
        </r>
      </text>
    </comment>
    <comment ref="A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Sam W (on Olivia's login) $2.25 over
Lilly G
Glynn W $0.02 over
Sara W </t>
        </r>
      </text>
    </comment>
    <comment ref="A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Olivia C
Lilly G
Reese W
Steve S
Lauren S</t>
        </r>
      </text>
    </comment>
    <comment ref="AG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Reese W
Lauren M
Dee W
Sam W
Laura P
Steve S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17 admissions sold, all paid admissions refunded, only Under 4 were left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F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</t>
        </r>
      </text>
    </comment>
    <comment ref="I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</t>
        </r>
      </text>
    </comment>
    <comment ref="P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
Doug</t>
        </r>
      </text>
    </comment>
    <comment ref="N38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$63 over in admission fees, added to revenue, added 9 admissions to adults ($63/$7=9)</t>
        </r>
      </text>
    </comment>
  </commentList>
</comments>
</file>

<file path=xl/comments4.xml><?xml version="1.0" encoding="utf-8"?>
<comments xmlns="http://schemas.openxmlformats.org/spreadsheetml/2006/main">
  <authors>
    <author>Julie Lancaster</author>
    <author>MartyJo Davis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report was brought to me with $6 that hadn't been deposited, no coins</t>
        </r>
      </text>
    </comment>
    <comment ref="AN1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<sst xmlns="http://schemas.openxmlformats.org/spreadsheetml/2006/main" count="535" uniqueCount="237">
  <si>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</si>
  <si>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</si>
  <si>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</si>
  <si>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</si>
  <si>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</si>
  <si>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</si>
  <si>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</si>
  <si>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</si>
  <si>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</si>
  <si>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</si>
  <si>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</si>
  <si>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</si>
  <si>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</si>
  <si>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</si>
  <si>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</si>
  <si>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</si>
  <si>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</si>
  <si>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</si>
  <si>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</si>
  <si>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</si>
  <si>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</si>
  <si>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</si>
  <si>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</si>
  <si>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</si>
  <si>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</si>
  <si>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</si>
  <si>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</si>
  <si>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</si>
  <si>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</si>
  <si>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</si>
  <si>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</si>
  <si>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</si>
  <si>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</si>
  <si>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</si>
  <si>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</si>
  <si>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</si>
  <si>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</si>
  <si>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</si>
  <si>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</si>
  <si>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</si>
  <si>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</si>
  <si>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</si>
  <si>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</si>
  <si>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</si>
  <si>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</si>
  <si>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</si>
  <si>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</si>
  <si>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</si>
  <si>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</si>
  <si>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</si>
  <si>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</si>
  <si>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</si>
  <si>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</si>
  <si>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</si>
  <si>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</si>
  <si>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</si>
  <si>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</si>
  <si>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</si>
  <si>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</si>
  <si>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</si>
  <si>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</si>
  <si>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</si>
  <si>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</si>
  <si>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</si>
  <si>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</si>
  <si>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</si>
  <si>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</si>
  <si>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</si>
  <si>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</si>
  <si>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</si>
  <si>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</si>
  <si>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</si>
  <si>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</si>
  <si>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</si>
  <si>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</si>
  <si>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</si>
  <si>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</si>
  <si>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</si>
  <si>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</si>
  <si>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</si>
  <si>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</si>
  <si>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</si>
  <si>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</si>
  <si>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</si>
  <si>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</si>
  <si>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</si>
  <si>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</si>
  <si>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</si>
  <si>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</si>
  <si>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</si>
  <si>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</si>
  <si>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</si>
  <si>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</si>
  <si>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</si>
  <si>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</si>
  <si>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</si>
  <si>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</si>
  <si>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</si>
  <si>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</si>
  <si>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</si>
  <si>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</si>
  <si>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</si>
  <si>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</si>
  <si>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</si>
  <si>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</si>
  <si>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</si>
  <si>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</si>
  <si>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</si>
  <si>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</si>
  <si>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</si>
  <si>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</si>
  <si>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</si>
  <si>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</si>
  <si>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</si>
  <si>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</si>
  <si>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</si>
  <si>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</si>
  <si>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</si>
  <si>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</si>
  <si>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</si>
  <si>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</si>
  <si>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</si>
  <si>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</si>
  <si>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</si>
  <si>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</si>
  <si>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</si>
  <si>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</si>
  <si>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</si>
  <si>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</si>
  <si>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</si>
  <si>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</si>
  <si>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</si>
  <si>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</si>
  <si>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</si>
  <si>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</si>
  <si>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</si>
  <si>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</si>
  <si>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</si>
  <si>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</si>
  <si>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</si>
  <si>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</si>
  <si>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</si>
  <si>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</si>
  <si>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</si>
  <si>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</si>
  <si>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</si>
  <si>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</si>
  <si>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</si>
  <si>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</si>
  <si>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</si>
  <si>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</si>
  <si>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</si>
  <si>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</si>
  <si>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</si>
  <si>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</si>
  <si>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</si>
  <si>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</si>
  <si>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</si>
  <si>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</si>
  <si>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</si>
  <si>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</si>
  <si>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</si>
  <si>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</si>
  <si>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</si>
  <si>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</si>
  <si>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</si>
  <si>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</si>
  <si>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</si>
  <si>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</si>
  <si>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</si>
  <si>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</si>
  <si>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</si>
  <si>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</si>
  <si>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</si>
  <si>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</si>
  <si>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</si>
  <si>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</si>
  <si>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</si>
  <si>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</si>
  <si>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</si>
  <si>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</si>
  <si>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</si>
  <si>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</si>
  <si>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</si>
  <si>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</si>
  <si>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</si>
  <si>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</si>
  <si>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</si>
  <si>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</si>
  <si>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</si>
  <si>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</si>
  <si>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</si>
  <si>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</si>
  <si>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</si>
  <si>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</si>
  <si>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</si>
  <si>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</si>
  <si>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</si>
  <si>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</si>
  <si>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</si>
  <si>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</si>
  <si>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</si>
  <si>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</si>
  <si>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</si>
  <si>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</si>
  <si>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</si>
  <si>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</si>
  <si>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</si>
  <si>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</si>
  <si>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</si>
  <si>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</si>
  <si>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</si>
  <si>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</si>
  <si>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</si>
  <si>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</si>
  <si>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</si>
  <si>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</si>
  <si>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</si>
  <si>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</si>
  <si>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</si>
  <si>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</si>
  <si>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</si>
  <si>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</si>
  <si>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</si>
  <si>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</si>
  <si>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</si>
  <si>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</si>
  <si>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</si>
  <si>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</si>
  <si>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</si>
  <si>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</si>
  <si>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</si>
  <si>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</si>
  <si>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</si>
  <si>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</si>
  <si>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May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</si>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</sst>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3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0" fontId="45" fillId="0" borderId="46" xfId="0" applyFont="1" applyBorder="1" applyProtection="1"/>
    <xf numFmtId="0" fontId="45" fillId="0" borderId="58" xfId="0" applyFont="1" applyBorder="1" applyProtection="1"/>
    <xf numFmtId="43" fontId="33" fillId="0" borderId="17" xfId="0" applyNumberFormat="1" applyFont="1" applyBorder="1" applyProtection="1"/>
    <xf numFmtId="43" fontId="33" fillId="0" borderId="9" xfId="0" applyNumberFormat="1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topLeftCell="A4"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235</v>
      </c>
      <c r="D1" s="384">
        <v>2024</v>
      </c>
      <c r="G1" s="217"/>
    </row>
    <row r="3" spans="1:22" x14ac:dyDescent="0.2">
      <c r="A3" s="5"/>
    </row>
    <row r="4" spans="1:22" s="1" customFormat="1" x14ac:dyDescent="0.2">
      <c r="B4" s="230"/>
      <c r="C4" s="497" t="s">
        <v>1</v>
      </c>
      <c r="D4" s="498"/>
      <c r="E4" s="498"/>
      <c r="F4" s="498"/>
      <c r="G4" s="498"/>
      <c r="H4" s="498"/>
      <c r="I4" s="498"/>
      <c r="J4" s="498"/>
      <c r="K4" s="498"/>
      <c r="L4" s="498"/>
      <c r="M4" s="499"/>
      <c r="N4" s="6"/>
      <c r="O4" s="500" t="s">
        <v>2</v>
      </c>
      <c r="P4" s="501"/>
      <c r="Q4" s="501"/>
      <c r="R4" s="502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45413</v>
      </c>
      <c r="B8" s="232" t="str">
        <f>TEXT(A8, "DDD")</f>
        <v>Wed</v>
      </c>
      <c r="C8" s="152">
        <f t="array" ref="C8:C38">TRANSPOSE(Pool!C33:AG33)</f>
        <v>341.1</v>
      </c>
      <c r="D8" s="58">
        <f>'Box Canon'!C18+'Box Canon'!C19</f>
        <v>0</v>
      </c>
      <c r="E8" s="21"/>
      <c r="F8" s="21"/>
      <c r="G8" s="151">
        <f t="array" ref="G8:G38">TRANSPOSE(Pool!C34:AG34)</f>
        <v>1886.8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45414</v>
      </c>
      <c r="B9" s="232" t="str">
        <f t="shared" ref="B9:B38" si="0">TEXT(A9, "DDD")</f>
        <v>Thu</v>
      </c>
      <c r="C9" s="152">
        <v>768.8</v>
      </c>
      <c r="D9" s="58">
        <f>'Box Canon'!D18+'Box Canon'!D19</f>
        <v>0</v>
      </c>
      <c r="E9" s="21"/>
      <c r="F9" s="21"/>
      <c r="G9" s="151">
        <v>2608.5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45415</v>
      </c>
      <c r="B10" s="232" t="str">
        <f t="shared" si="0"/>
        <v>Fri</v>
      </c>
      <c r="C10" s="152">
        <v>659.4</v>
      </c>
      <c r="D10" s="58">
        <f>'Box Canon'!E18+'Box Canon'!E19</f>
        <v>344.8</v>
      </c>
      <c r="E10" s="21"/>
      <c r="F10" s="21"/>
      <c r="G10" s="151">
        <v>3863</v>
      </c>
      <c r="H10" s="151">
        <v>0</v>
      </c>
      <c r="I10" s="151">
        <f>'Box Canon'!E20+'Box Canon'!E21</f>
        <v>508.15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45416</v>
      </c>
      <c r="B11" s="232" t="str">
        <f t="shared" si="0"/>
        <v>Sat</v>
      </c>
      <c r="C11" s="152">
        <v>1349.3</v>
      </c>
      <c r="D11" s="58">
        <f>'Box Canon'!F18+'Box Canon'!F19</f>
        <v>352.67</v>
      </c>
      <c r="E11" s="21"/>
      <c r="F11" s="21"/>
      <c r="G11" s="151">
        <v>7456.25</v>
      </c>
      <c r="H11" s="153">
        <v>0</v>
      </c>
      <c r="I11" s="151">
        <f>'Box Canon'!F20+'Box Canon'!F21</f>
        <v>867.45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45417</v>
      </c>
      <c r="B12" s="232" t="str">
        <f t="shared" si="0"/>
        <v>Sun</v>
      </c>
      <c r="C12" s="152">
        <v>15.75</v>
      </c>
      <c r="D12" s="58">
        <f>'Box Canon'!G18+'Box Canon'!G19</f>
        <v>404.08</v>
      </c>
      <c r="E12" s="21"/>
      <c r="F12" s="21"/>
      <c r="G12" s="151">
        <v>280</v>
      </c>
      <c r="H12" s="153">
        <v>0</v>
      </c>
      <c r="I12" s="151">
        <f>'Box Canon'!G20+'Box Canon'!G21</f>
        <v>1011.45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45418</v>
      </c>
      <c r="B13" s="232" t="str">
        <f t="shared" si="0"/>
        <v>Mon</v>
      </c>
      <c r="C13" s="152">
        <v>221</v>
      </c>
      <c r="D13" s="58">
        <f>'Box Canon'!H18+'Box Canon'!H19</f>
        <v>276.63</v>
      </c>
      <c r="E13" s="21"/>
      <c r="F13" s="21"/>
      <c r="G13" s="151">
        <v>1379.75</v>
      </c>
      <c r="H13" s="153">
        <v>0</v>
      </c>
      <c r="I13" s="151">
        <f>'Box Canon'!H20+'Box Canon'!H21</f>
        <v>362.28999999999996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45419</v>
      </c>
      <c r="B14" s="232" t="str">
        <f t="shared" si="0"/>
        <v>Tue</v>
      </c>
      <c r="C14" s="152">
        <v>267.5</v>
      </c>
      <c r="D14" s="58">
        <f>'Box Canon'!I18+'Box Canon'!I19</f>
        <v>387.45</v>
      </c>
      <c r="E14" s="21"/>
      <c r="F14" s="21"/>
      <c r="G14" s="151">
        <v>3079.5</v>
      </c>
      <c r="H14" s="153">
        <v>0</v>
      </c>
      <c r="I14" s="151">
        <f>'Box Canon'!I20+'Box Canon'!I21</f>
        <v>479.6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45420</v>
      </c>
      <c r="B15" s="232" t="str">
        <f t="shared" si="0"/>
        <v>Wed</v>
      </c>
      <c r="C15" s="152">
        <v>354.25</v>
      </c>
      <c r="D15" s="58">
        <f>'Box Canon'!J18+'Box Canon'!J19</f>
        <v>157.21</v>
      </c>
      <c r="E15" s="21"/>
      <c r="F15" s="21"/>
      <c r="G15" s="151">
        <v>1334</v>
      </c>
      <c r="H15" s="153">
        <v>0</v>
      </c>
      <c r="I15" s="151">
        <f>'Box Canon'!J20+'Box Canon'!J21</f>
        <v>336.04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45421</v>
      </c>
      <c r="B16" s="232" t="str">
        <f t="shared" si="0"/>
        <v>Thu</v>
      </c>
      <c r="C16" s="152">
        <v>215.5</v>
      </c>
      <c r="D16" s="58">
        <f>'Box Canon'!K18+'Box Canon'!K19</f>
        <v>127.13</v>
      </c>
      <c r="E16" s="21"/>
      <c r="F16" s="21"/>
      <c r="G16" s="151">
        <v>2169.6999999999998</v>
      </c>
      <c r="H16" s="153">
        <v>0</v>
      </c>
      <c r="I16" s="151">
        <f>'Box Canon'!K20+'Box Canon'!K21</f>
        <v>311.32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45422</v>
      </c>
      <c r="B17" s="232" t="str">
        <f t="shared" si="0"/>
        <v>Fri</v>
      </c>
      <c r="C17" s="152">
        <v>593.1</v>
      </c>
      <c r="D17" s="58">
        <f>'Box Canon'!L18+'Box Canon'!L19</f>
        <v>209.99</v>
      </c>
      <c r="E17" s="21"/>
      <c r="F17" s="21"/>
      <c r="G17" s="151">
        <v>5278.95</v>
      </c>
      <c r="H17" s="153">
        <v>0</v>
      </c>
      <c r="I17" s="151">
        <f>'Box Canon'!L20+'Box Canon'!L21</f>
        <v>479.81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45423</v>
      </c>
      <c r="B18" s="232" t="str">
        <f t="shared" si="0"/>
        <v>Sat</v>
      </c>
      <c r="C18" s="152">
        <v>1165.6500000000001</v>
      </c>
      <c r="D18" s="58">
        <f>'Box Canon'!M18+'Box Canon'!M19</f>
        <v>224</v>
      </c>
      <c r="E18" s="21"/>
      <c r="F18" s="21"/>
      <c r="G18" s="151">
        <v>7319.05</v>
      </c>
      <c r="H18" s="153">
        <v>0</v>
      </c>
      <c r="I18" s="151">
        <f>'Box Canon'!M20+'Box Canon'!M21</f>
        <v>802.56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45424</v>
      </c>
      <c r="B19" s="232" t="str">
        <f t="shared" si="0"/>
        <v>Sun</v>
      </c>
      <c r="C19" s="152">
        <v>1432.75</v>
      </c>
      <c r="D19" s="58">
        <f>'Box Canon'!N18+'Box Canon'!N19</f>
        <v>507.46</v>
      </c>
      <c r="E19" s="21"/>
      <c r="F19" s="21"/>
      <c r="G19" s="151">
        <v>6842.5</v>
      </c>
      <c r="H19" s="153">
        <v>0</v>
      </c>
      <c r="I19" s="151">
        <f>'Box Canon'!N20+'Box Canon'!N21</f>
        <v>1025.3800000000001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45425</v>
      </c>
      <c r="B20" s="232" t="str">
        <f t="shared" si="0"/>
        <v>Mon</v>
      </c>
      <c r="C20" s="152">
        <v>490.3</v>
      </c>
      <c r="D20" s="58">
        <f>'Box Canon'!O18+'Box Canon'!O19</f>
        <v>419.51</v>
      </c>
      <c r="E20" s="21"/>
      <c r="F20" s="21"/>
      <c r="G20" s="151">
        <v>3474.55</v>
      </c>
      <c r="H20" s="153">
        <v>0</v>
      </c>
      <c r="I20" s="151">
        <f>'Box Canon'!O20+'Box Canon'!O21</f>
        <v>785.02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45426</v>
      </c>
      <c r="B21" s="232" t="str">
        <f t="shared" si="0"/>
        <v>Tue</v>
      </c>
      <c r="C21" s="152">
        <v>660.7</v>
      </c>
      <c r="D21" s="58">
        <f>'Box Canon'!P18+'Box Canon'!P19</f>
        <v>372.51</v>
      </c>
      <c r="E21" s="41"/>
      <c r="F21" s="21"/>
      <c r="G21" s="151">
        <v>4299.3</v>
      </c>
      <c r="H21" s="153">
        <v>0</v>
      </c>
      <c r="I21" s="151">
        <f>'Box Canon'!P20+'Box Canon'!P21</f>
        <v>805.01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45427</v>
      </c>
      <c r="B22" s="232" t="str">
        <f t="shared" si="0"/>
        <v>Wed</v>
      </c>
      <c r="C22" s="152">
        <v>461.5</v>
      </c>
      <c r="D22" s="58">
        <f>'Box Canon'!Q18+'Box Canon'!Q19</f>
        <v>368.78</v>
      </c>
      <c r="E22" s="21"/>
      <c r="F22" s="21"/>
      <c r="G22" s="151">
        <v>3078.85</v>
      </c>
      <c r="H22" s="153">
        <v>0</v>
      </c>
      <c r="I22" s="151">
        <f>'Box Canon'!Q20+'Box Canon'!Q21</f>
        <v>711.1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45428</v>
      </c>
      <c r="B23" s="232" t="str">
        <f t="shared" si="0"/>
        <v>Thu</v>
      </c>
      <c r="C23" s="152">
        <v>443.7</v>
      </c>
      <c r="D23" s="58">
        <f>'Box Canon'!R18+'Box Canon'!R19</f>
        <v>563.6</v>
      </c>
      <c r="E23" s="21"/>
      <c r="F23" s="21"/>
      <c r="G23" s="151">
        <v>4246.6499999999996</v>
      </c>
      <c r="H23" s="153">
        <v>0</v>
      </c>
      <c r="I23" s="151">
        <f>'Box Canon'!R20+'Box Canon'!R21</f>
        <v>950.58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45429</v>
      </c>
      <c r="B24" s="232" t="str">
        <f t="shared" si="0"/>
        <v>Fri</v>
      </c>
      <c r="C24" s="152">
        <v>624.1</v>
      </c>
      <c r="D24" s="58">
        <f>'Box Canon'!S18+'Box Canon'!S19</f>
        <v>1190.0900000000001</v>
      </c>
      <c r="E24" s="21"/>
      <c r="F24" s="21"/>
      <c r="G24" s="151">
        <v>4913.8999999999996</v>
      </c>
      <c r="H24" s="153">
        <v>0</v>
      </c>
      <c r="I24" s="151">
        <f>'Box Canon'!S20+'Box Canon'!S21</f>
        <v>1120.93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45430</v>
      </c>
      <c r="B25" s="232" t="str">
        <f t="shared" si="0"/>
        <v>Sat</v>
      </c>
      <c r="C25" s="152">
        <v>1076.9000000000001</v>
      </c>
      <c r="D25" s="58">
        <f>'Box Canon'!T18+'Box Canon'!T19</f>
        <v>1018.15</v>
      </c>
      <c r="E25" s="21"/>
      <c r="F25" s="21"/>
      <c r="G25" s="151">
        <v>7217.15</v>
      </c>
      <c r="H25" s="153">
        <v>0</v>
      </c>
      <c r="I25" s="151">
        <f>'Box Canon'!T20+'Box Canon'!T21</f>
        <v>2035.85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45431</v>
      </c>
      <c r="B26" s="232" t="str">
        <f t="shared" si="0"/>
        <v>Sun</v>
      </c>
      <c r="C26" s="152">
        <v>1793</v>
      </c>
      <c r="D26" s="58">
        <f>'Box Canon'!U18+'Box Canon'!U19</f>
        <v>649.61</v>
      </c>
      <c r="E26" s="21"/>
      <c r="F26" s="21"/>
      <c r="G26" s="151">
        <v>7106.6</v>
      </c>
      <c r="H26" s="153">
        <v>0</v>
      </c>
      <c r="I26" s="151">
        <f>'Box Canon'!U20+'Box Canon'!U21</f>
        <v>1764.59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45432</v>
      </c>
      <c r="B27" s="232" t="str">
        <f t="shared" si="0"/>
        <v>Mon</v>
      </c>
      <c r="C27" s="152">
        <v>805.8</v>
      </c>
      <c r="D27" s="58">
        <f>'Box Canon'!V18+'Box Canon'!V19</f>
        <v>599.80999999999995</v>
      </c>
      <c r="E27" s="21"/>
      <c r="F27" s="21"/>
      <c r="G27" s="151">
        <v>3111.85</v>
      </c>
      <c r="H27" s="153">
        <v>0</v>
      </c>
      <c r="I27" s="151">
        <f>'Box Canon'!V20+'Box Canon'!V21</f>
        <v>1154.6500000000001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45433</v>
      </c>
      <c r="B28" s="232" t="str">
        <f t="shared" si="0"/>
        <v>Tue</v>
      </c>
      <c r="C28" s="152">
        <v>700</v>
      </c>
      <c r="D28" s="58">
        <f>'Box Canon'!W18+'Box Canon'!W19</f>
        <v>237.86</v>
      </c>
      <c r="E28" s="21"/>
      <c r="F28" s="21"/>
      <c r="G28" s="151">
        <v>5104</v>
      </c>
      <c r="H28" s="153">
        <v>0</v>
      </c>
      <c r="I28" s="151">
        <f>'Box Canon'!W20+'Box Canon'!W21</f>
        <v>1023.25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45434</v>
      </c>
      <c r="B29" s="232" t="str">
        <f t="shared" si="0"/>
        <v>Wed</v>
      </c>
      <c r="C29" s="152">
        <v>827</v>
      </c>
      <c r="D29" s="58">
        <f>'Box Canon'!X18+'Box Canon'!X19</f>
        <v>877.69</v>
      </c>
      <c r="E29" s="21"/>
      <c r="F29" s="21"/>
      <c r="G29" s="151">
        <v>3398.9</v>
      </c>
      <c r="H29" s="153">
        <v>0</v>
      </c>
      <c r="I29" s="151">
        <f>'Box Canon'!X20+'Box Canon'!X21</f>
        <v>778.08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45435</v>
      </c>
      <c r="B30" s="232" t="str">
        <f t="shared" si="0"/>
        <v>Thu</v>
      </c>
      <c r="C30" s="152">
        <v>696.5</v>
      </c>
      <c r="D30" s="58">
        <f>'Box Canon'!Y18+'Box Canon'!Y19</f>
        <v>482.35</v>
      </c>
      <c r="E30" s="21"/>
      <c r="F30" s="21"/>
      <c r="G30" s="151">
        <v>6190.4</v>
      </c>
      <c r="H30" s="153">
        <v>0</v>
      </c>
      <c r="I30" s="151">
        <f>'Box Canon'!Y20+'Box Canon'!Y21</f>
        <v>981.06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45436</v>
      </c>
      <c r="B31" s="232" t="str">
        <f t="shared" si="0"/>
        <v>Fri</v>
      </c>
      <c r="C31" s="152">
        <v>59500.1</v>
      </c>
      <c r="D31" s="58">
        <f>'Box Canon'!Z18+'Box Canon'!Z19</f>
        <v>638.84</v>
      </c>
      <c r="E31" s="21"/>
      <c r="F31" s="21"/>
      <c r="G31" s="151">
        <v>6247.6</v>
      </c>
      <c r="H31" s="153">
        <v>0</v>
      </c>
      <c r="I31" s="151">
        <f>'Box Canon'!Z20+'Box Canon'!Z21</f>
        <v>1584.81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45437</v>
      </c>
      <c r="B32" s="232" t="str">
        <f t="shared" si="0"/>
        <v>Sat</v>
      </c>
      <c r="C32" s="152">
        <v>1958.9</v>
      </c>
      <c r="D32" s="58">
        <f>'Box Canon'!AA18+'Box Canon'!AA19</f>
        <v>1138.4099999999999</v>
      </c>
      <c r="E32" s="21"/>
      <c r="F32" s="21"/>
      <c r="G32" s="151">
        <v>15667.67</v>
      </c>
      <c r="H32" s="153">
        <v>0</v>
      </c>
      <c r="I32" s="151">
        <f>'Box Canon'!AA20+'Box Canon'!AA21</f>
        <v>4100.12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45438</v>
      </c>
      <c r="B33" s="232" t="str">
        <f t="shared" si="0"/>
        <v>Sun</v>
      </c>
      <c r="C33" s="152">
        <v>3911.1</v>
      </c>
      <c r="D33" s="58">
        <f>'Box Canon'!AB18+'Box Canon'!AB19</f>
        <v>1393.58</v>
      </c>
      <c r="E33" s="21"/>
      <c r="F33" s="21"/>
      <c r="G33" s="151">
        <v>21642.14</v>
      </c>
      <c r="H33" s="153">
        <v>0</v>
      </c>
      <c r="I33" s="151">
        <f>'Box Canon'!AB20+'Box Canon'!AB21</f>
        <v>5151.16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45439</v>
      </c>
      <c r="B34" s="232" t="str">
        <f t="shared" si="0"/>
        <v>Mon</v>
      </c>
      <c r="C34" s="152">
        <v>2321.3000000000002</v>
      </c>
      <c r="D34" s="58">
        <f>'Box Canon'!AC18+'Box Canon'!AC19</f>
        <v>964.08999999999992</v>
      </c>
      <c r="E34" s="21"/>
      <c r="F34" s="21"/>
      <c r="G34" s="151">
        <v>13582.35</v>
      </c>
      <c r="H34" s="153">
        <v>0</v>
      </c>
      <c r="I34" s="151">
        <f>'Box Canon'!AC20+'Box Canon'!AC21</f>
        <v>2825.89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45440</v>
      </c>
      <c r="B35" s="232" t="str">
        <f t="shared" si="0"/>
        <v>Tue</v>
      </c>
      <c r="C35" s="152">
        <v>1242.7</v>
      </c>
      <c r="D35" s="58">
        <f>'Box Canon'!AD18+'Box Canon'!AD19</f>
        <v>657.56999999999994</v>
      </c>
      <c r="E35" s="21"/>
      <c r="F35" s="21"/>
      <c r="G35" s="151">
        <v>8553.4</v>
      </c>
      <c r="H35" s="153">
        <v>0</v>
      </c>
      <c r="I35" s="151">
        <f>'Box Canon'!AD20+'Box Canon'!AD21</f>
        <v>1958.42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45441</v>
      </c>
      <c r="B36" s="232" t="str">
        <f t="shared" si="0"/>
        <v>Wed</v>
      </c>
      <c r="C36" s="152">
        <v>1006.27</v>
      </c>
      <c r="D36" s="58">
        <f>'Box Canon'!AE18+'Box Canon'!AE19</f>
        <v>1105.53</v>
      </c>
      <c r="E36" s="42"/>
      <c r="F36" s="21"/>
      <c r="G36" s="151">
        <v>7845.9</v>
      </c>
      <c r="H36" s="153">
        <v>0</v>
      </c>
      <c r="I36" s="151">
        <f>'Box Canon'!AE20+'Box Canon'!AE21</f>
        <v>2018.1599999999999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45442</v>
      </c>
      <c r="B37" s="232" t="str">
        <f t="shared" si="0"/>
        <v>Thu</v>
      </c>
      <c r="C37" s="152">
        <v>1626.27</v>
      </c>
      <c r="D37" s="58">
        <f>'Box Canon'!AF18+'Box Canon'!AF19</f>
        <v>1006.98</v>
      </c>
      <c r="E37" s="21"/>
      <c r="F37" s="21"/>
      <c r="G37" s="151">
        <v>7856.7</v>
      </c>
      <c r="H37" s="153">
        <v>0</v>
      </c>
      <c r="I37" s="151">
        <f>'Box Canon'!AF20+'Box Canon'!AF21</f>
        <v>1730.45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45443</v>
      </c>
      <c r="B38" s="232" t="str">
        <f t="shared" si="0"/>
        <v>Fri</v>
      </c>
      <c r="C38" s="152">
        <v>1756.6</v>
      </c>
      <c r="D38" s="58">
        <f>'Box Canon'!AG18+'Box Canon'!AG19</f>
        <v>882.04</v>
      </c>
      <c r="E38" s="21"/>
      <c r="F38" s="21"/>
      <c r="G38" s="151">
        <v>9442.2900000000009</v>
      </c>
      <c r="H38" s="153">
        <v>0</v>
      </c>
      <c r="I38" s="151">
        <f>'Box Canon'!AG20+'Box Canon'!AG21</f>
        <v>2655.8599999999997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89286.840000000011</v>
      </c>
      <c r="D40" s="171">
        <f t="shared" ref="D40:M40" si="2">SUM(D8:D39)</f>
        <v>17558.420000000002</v>
      </c>
      <c r="E40" s="172">
        <f t="shared" si="2"/>
        <v>0</v>
      </c>
      <c r="F40" s="172">
        <f t="shared" si="2"/>
        <v>0</v>
      </c>
      <c r="G40" s="171">
        <f>SUM(G8:G38)</f>
        <v>186478.2</v>
      </c>
      <c r="H40" s="171">
        <f>SUM(H8:H38)</f>
        <v>0</v>
      </c>
      <c r="I40" s="171">
        <f>SUM(I8:I38)</f>
        <v>40319.039999999994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333642.5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106845.26000000001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tabSelected="1" workbookViewId="0">
      <pane xSplit="2" ySplit="2" topLeftCell="AA9" activePane="bottomRight" state="frozen"/>
      <selection pane="topRight" activeCell="C1" sqref="C1"/>
      <selection pane="bottomLeft" activeCell="A3" sqref="A3"/>
      <selection pane="bottomRight" activeCell="J32" sqref="J32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May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45413</v>
      </c>
      <c r="D2" s="106">
        <f>C2+1</f>
        <v>45414</v>
      </c>
      <c r="E2" s="106">
        <f>D2+1</f>
        <v>45415</v>
      </c>
      <c r="F2" s="106">
        <f t="shared" ref="F2:AG2" si="0">E2+1</f>
        <v>45416</v>
      </c>
      <c r="G2" s="106">
        <f t="shared" si="0"/>
        <v>45417</v>
      </c>
      <c r="H2" s="106">
        <f t="shared" si="0"/>
        <v>45418</v>
      </c>
      <c r="I2" s="106">
        <f t="shared" si="0"/>
        <v>45419</v>
      </c>
      <c r="J2" s="106">
        <f t="shared" si="0"/>
        <v>45420</v>
      </c>
      <c r="K2" s="106">
        <f t="shared" si="0"/>
        <v>45421</v>
      </c>
      <c r="L2" s="106">
        <f t="shared" si="0"/>
        <v>45422</v>
      </c>
      <c r="M2" s="106">
        <f t="shared" si="0"/>
        <v>45423</v>
      </c>
      <c r="N2" s="106">
        <f t="shared" si="0"/>
        <v>45424</v>
      </c>
      <c r="O2" s="106">
        <f t="shared" si="0"/>
        <v>45425</v>
      </c>
      <c r="P2" s="106">
        <f t="shared" si="0"/>
        <v>45426</v>
      </c>
      <c r="Q2" s="106">
        <f t="shared" si="0"/>
        <v>45427</v>
      </c>
      <c r="R2" s="106">
        <f t="shared" si="0"/>
        <v>45428</v>
      </c>
      <c r="S2" s="106">
        <f t="shared" si="0"/>
        <v>45429</v>
      </c>
      <c r="T2" s="106">
        <f t="shared" si="0"/>
        <v>45430</v>
      </c>
      <c r="U2" s="106">
        <f t="shared" si="0"/>
        <v>45431</v>
      </c>
      <c r="V2" s="106">
        <f t="shared" si="0"/>
        <v>45432</v>
      </c>
      <c r="W2" s="106">
        <f t="shared" si="0"/>
        <v>45433</v>
      </c>
      <c r="X2" s="106">
        <f t="shared" si="0"/>
        <v>45434</v>
      </c>
      <c r="Y2" s="106">
        <f t="shared" si="0"/>
        <v>45435</v>
      </c>
      <c r="Z2" s="106">
        <f t="shared" si="0"/>
        <v>45436</v>
      </c>
      <c r="AA2" s="106">
        <f t="shared" si="0"/>
        <v>45437</v>
      </c>
      <c r="AB2" s="106">
        <f t="shared" si="0"/>
        <v>45438</v>
      </c>
      <c r="AC2" s="106">
        <f t="shared" si="0"/>
        <v>45439</v>
      </c>
      <c r="AD2" s="106">
        <f t="shared" si="0"/>
        <v>45440</v>
      </c>
      <c r="AE2" s="106">
        <f t="shared" si="0"/>
        <v>45441</v>
      </c>
      <c r="AF2" s="106">
        <f t="shared" si="0"/>
        <v>45442</v>
      </c>
      <c r="AG2" s="106">
        <f t="shared" si="0"/>
        <v>45443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16.04</v>
      </c>
      <c r="D3" s="185">
        <v>38.729999999999997</v>
      </c>
      <c r="E3" s="185">
        <v>12.85</v>
      </c>
      <c r="F3" s="185">
        <v>33.22</v>
      </c>
      <c r="G3" s="185">
        <v>2.19</v>
      </c>
      <c r="H3" s="185">
        <v>21.25</v>
      </c>
      <c r="I3" s="185">
        <v>8.83</v>
      </c>
      <c r="J3" s="185">
        <v>11.79</v>
      </c>
      <c r="K3" s="185">
        <v>10.72</v>
      </c>
      <c r="L3" s="185">
        <v>17.38</v>
      </c>
      <c r="M3" s="185">
        <v>51.95</v>
      </c>
      <c r="N3" s="185">
        <v>56.38</v>
      </c>
      <c r="O3" s="185">
        <v>18.91</v>
      </c>
      <c r="P3" s="185">
        <v>11.1</v>
      </c>
      <c r="Q3" s="185">
        <v>21.2</v>
      </c>
      <c r="R3" s="185">
        <v>21</v>
      </c>
      <c r="S3" s="185">
        <v>18.5</v>
      </c>
      <c r="T3" s="185">
        <v>41.36</v>
      </c>
      <c r="U3" s="185">
        <v>45.67</v>
      </c>
      <c r="V3" s="185">
        <v>27.31</v>
      </c>
      <c r="W3" s="185">
        <v>32.700000000000003</v>
      </c>
      <c r="X3" s="185">
        <v>34.03</v>
      </c>
      <c r="Y3" s="185">
        <v>31.89</v>
      </c>
      <c r="Z3" s="185">
        <v>26.89</v>
      </c>
      <c r="AA3" s="185">
        <v>87.35</v>
      </c>
      <c r="AB3" s="185">
        <v>176.75</v>
      </c>
      <c r="AC3" s="185">
        <v>103.28</v>
      </c>
      <c r="AD3" s="185">
        <v>39</v>
      </c>
      <c r="AE3" s="185">
        <v>56.26</v>
      </c>
      <c r="AF3" s="185">
        <v>73.819999999999993</v>
      </c>
      <c r="AG3" s="185">
        <v>66.38</v>
      </c>
      <c r="AH3" s="108">
        <f>SUM(C3:AG3)</f>
        <v>1214.73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1852.4</v>
      </c>
      <c r="D4" s="72">
        <v>2586.8000000000002</v>
      </c>
      <c r="E4" s="71">
        <v>2238.4</v>
      </c>
      <c r="F4" s="71">
        <v>7037.2</v>
      </c>
      <c r="G4" s="71"/>
      <c r="H4" s="71">
        <v>1183</v>
      </c>
      <c r="I4" s="71">
        <v>1408</v>
      </c>
      <c r="J4" s="71">
        <v>1536</v>
      </c>
      <c r="K4" s="71">
        <v>1453.2</v>
      </c>
      <c r="L4" s="71">
        <v>3645.2</v>
      </c>
      <c r="M4" s="71">
        <v>6897.2</v>
      </c>
      <c r="N4" s="71">
        <v>5444</v>
      </c>
      <c r="O4" s="71">
        <v>2669.2</v>
      </c>
      <c r="P4" s="71">
        <v>3115</v>
      </c>
      <c r="Q4" s="71">
        <v>3350.8</v>
      </c>
      <c r="R4" s="71">
        <v>3139.6</v>
      </c>
      <c r="S4" s="71">
        <v>4322</v>
      </c>
      <c r="T4" s="71">
        <v>6512.2</v>
      </c>
      <c r="U4" s="71">
        <v>7009.6</v>
      </c>
      <c r="V4" s="71">
        <v>3232.4</v>
      </c>
      <c r="W4" s="71">
        <v>4414.3999999999996</v>
      </c>
      <c r="X4" s="71">
        <v>3636.4</v>
      </c>
      <c r="Y4" s="71">
        <v>4726.3999999999996</v>
      </c>
      <c r="Z4" s="71">
        <v>5431.2</v>
      </c>
      <c r="AA4" s="71">
        <v>14174.4</v>
      </c>
      <c r="AB4" s="71">
        <v>21540</v>
      </c>
      <c r="AC4" s="71">
        <v>10535.6</v>
      </c>
      <c r="AD4" s="71">
        <v>7196.2</v>
      </c>
      <c r="AE4" s="71">
        <v>7461.4</v>
      </c>
      <c r="AF4" s="71">
        <v>7021.2</v>
      </c>
      <c r="AG4" s="71">
        <v>7496.4</v>
      </c>
      <c r="AH4" s="108">
        <f t="shared" ref="AH4:AH28" si="1">SUM(C4:AG4)</f>
        <v>162265.79999999999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4" customFormat="1" x14ac:dyDescent="0.25">
      <c r="A6" s="162" t="s">
        <v>152</v>
      </c>
      <c r="B6" s="163" t="s">
        <v>231</v>
      </c>
      <c r="C6" s="476"/>
      <c r="D6" s="477">
        <v>410</v>
      </c>
      <c r="E6" s="477">
        <v>1312.5</v>
      </c>
      <c r="F6" s="477">
        <v>410</v>
      </c>
      <c r="G6" s="477">
        <v>135</v>
      </c>
      <c r="H6" s="477"/>
      <c r="I6" s="477">
        <v>827.5</v>
      </c>
      <c r="J6" s="477"/>
      <c r="K6" s="477">
        <v>315</v>
      </c>
      <c r="L6" s="477">
        <v>560</v>
      </c>
      <c r="M6" s="477">
        <v>200</v>
      </c>
      <c r="N6" s="477">
        <v>1050</v>
      </c>
      <c r="O6" s="477">
        <v>472.5</v>
      </c>
      <c r="P6" s="477">
        <v>927.5</v>
      </c>
      <c r="Q6" s="477">
        <v>60</v>
      </c>
      <c r="R6" s="477">
        <v>551</v>
      </c>
      <c r="S6" s="477">
        <v>200</v>
      </c>
      <c r="T6" s="477">
        <v>700</v>
      </c>
      <c r="U6" s="477">
        <v>402.5</v>
      </c>
      <c r="V6" s="477"/>
      <c r="W6" s="477">
        <v>485</v>
      </c>
      <c r="X6" s="477"/>
      <c r="Y6" s="477">
        <v>1375</v>
      </c>
      <c r="Z6" s="477">
        <v>605</v>
      </c>
      <c r="AA6" s="477">
        <v>88</v>
      </c>
      <c r="AB6" s="477">
        <v>100</v>
      </c>
      <c r="AC6" s="477">
        <v>951</v>
      </c>
      <c r="AD6" s="477">
        <v>858</v>
      </c>
      <c r="AE6" s="477"/>
      <c r="AF6" s="477">
        <v>210</v>
      </c>
      <c r="AG6" s="477">
        <v>990</v>
      </c>
      <c r="AH6" s="108">
        <f>SUM(C6:AG6)</f>
        <v>14195.5</v>
      </c>
      <c r="AI6" s="62"/>
      <c r="AJ6" s="162" t="s">
        <v>152</v>
      </c>
      <c r="AK6" s="163" t="s">
        <v>192</v>
      </c>
      <c r="AM6" s="478"/>
    </row>
    <row r="7" spans="1:39" s="464" customFormat="1" x14ac:dyDescent="0.25">
      <c r="A7" s="162" t="s">
        <v>152</v>
      </c>
      <c r="B7" s="163" t="s">
        <v>222</v>
      </c>
      <c r="C7" s="476">
        <v>180</v>
      </c>
      <c r="D7" s="477"/>
      <c r="E7" s="477">
        <v>180</v>
      </c>
      <c r="F7" s="477">
        <v>860</v>
      </c>
      <c r="G7" s="477"/>
      <c r="H7" s="477">
        <v>180</v>
      </c>
      <c r="I7" s="477">
        <v>180</v>
      </c>
      <c r="J7" s="477"/>
      <c r="K7" s="477">
        <v>320</v>
      </c>
      <c r="L7" s="477">
        <v>900</v>
      </c>
      <c r="M7" s="477">
        <v>540</v>
      </c>
      <c r="N7" s="477">
        <v>900</v>
      </c>
      <c r="O7" s="477"/>
      <c r="P7" s="477">
        <v>360</v>
      </c>
      <c r="Q7" s="477">
        <v>-180</v>
      </c>
      <c r="R7" s="477">
        <v>860</v>
      </c>
      <c r="S7" s="477">
        <v>540</v>
      </c>
      <c r="T7" s="477">
        <v>540</v>
      </c>
      <c r="U7" s="477">
        <v>860</v>
      </c>
      <c r="V7" s="477">
        <v>360</v>
      </c>
      <c r="W7" s="477">
        <v>180</v>
      </c>
      <c r="X7" s="477">
        <v>180</v>
      </c>
      <c r="Y7" s="477"/>
      <c r="Z7" s="477">
        <v>59370</v>
      </c>
      <c r="AA7" s="477">
        <v>2160</v>
      </c>
      <c r="AB7" s="477">
        <v>860</v>
      </c>
      <c r="AC7" s="477">
        <v>1900</v>
      </c>
      <c r="AD7" s="477">
        <v>900</v>
      </c>
      <c r="AE7" s="477">
        <v>180</v>
      </c>
      <c r="AF7" s="477">
        <v>1040</v>
      </c>
      <c r="AG7" s="477">
        <v>1360</v>
      </c>
      <c r="AH7" s="108">
        <f>SUM(C7:AG7)</f>
        <v>75710</v>
      </c>
      <c r="AI7" s="62"/>
      <c r="AJ7" s="162" t="s">
        <v>152</v>
      </c>
      <c r="AK7" s="163" t="s">
        <v>222</v>
      </c>
      <c r="AM7" s="478"/>
    </row>
    <row r="8" spans="1:39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7"/>
      <c r="U8" s="477"/>
      <c r="V8" s="477"/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78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>
        <v>428</v>
      </c>
      <c r="AB9" s="72">
        <v>715</v>
      </c>
      <c r="AC9" s="72">
        <v>542</v>
      </c>
      <c r="AD9" s="72">
        <v>356</v>
      </c>
      <c r="AE9" s="72">
        <v>530</v>
      </c>
      <c r="AF9" s="72">
        <v>340</v>
      </c>
      <c r="AG9" s="72">
        <v>400</v>
      </c>
      <c r="AH9" s="108">
        <f>SUM(C9:AG9)</f>
        <v>3311</v>
      </c>
      <c r="AJ9" s="69" t="s">
        <v>173</v>
      </c>
      <c r="AK9" s="70" t="s">
        <v>63</v>
      </c>
      <c r="AM9" s="210"/>
    </row>
    <row r="10" spans="1:39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2"/>
        <v>0</v>
      </c>
      <c r="AI10" s="62"/>
      <c r="AJ10" s="162" t="s">
        <v>159</v>
      </c>
      <c r="AK10" s="163" t="s">
        <v>160</v>
      </c>
      <c r="AM10" s="478"/>
    </row>
    <row r="11" spans="1:39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2"/>
        <v>0</v>
      </c>
      <c r="AI11" s="62"/>
      <c r="AJ11" s="162" t="s">
        <v>153</v>
      </c>
      <c r="AK11" s="163" t="s">
        <v>154</v>
      </c>
      <c r="AM11" s="478"/>
    </row>
    <row r="12" spans="1:39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2"/>
        <v>0</v>
      </c>
      <c r="AI12" s="62"/>
      <c r="AJ12" s="162" t="s">
        <v>164</v>
      </c>
      <c r="AK12" s="163" t="s">
        <v>165</v>
      </c>
      <c r="AM12" s="478"/>
    </row>
    <row r="13" spans="1:39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2"/>
        <v>0</v>
      </c>
      <c r="AI13" s="62"/>
      <c r="AJ13" s="162" t="s">
        <v>166</v>
      </c>
      <c r="AK13" s="163" t="s">
        <v>167</v>
      </c>
      <c r="AM13" s="478"/>
    </row>
    <row r="14" spans="1:39" s="464" customFormat="1" x14ac:dyDescent="0.25">
      <c r="A14" s="162" t="s">
        <v>34</v>
      </c>
      <c r="B14" s="163" t="s">
        <v>227</v>
      </c>
      <c r="C14" s="476">
        <v>8</v>
      </c>
      <c r="D14" s="477">
        <v>4</v>
      </c>
      <c r="E14" s="477">
        <v>349</v>
      </c>
      <c r="F14" s="477">
        <v>12</v>
      </c>
      <c r="G14" s="477"/>
      <c r="H14" s="477">
        <v>12</v>
      </c>
      <c r="I14" s="477">
        <v>99</v>
      </c>
      <c r="J14" s="477">
        <v>16</v>
      </c>
      <c r="K14" s="477"/>
      <c r="L14" s="477">
        <v>4</v>
      </c>
      <c r="M14" s="477">
        <v>61</v>
      </c>
      <c r="N14" s="477">
        <v>4</v>
      </c>
      <c r="O14" s="477">
        <v>4</v>
      </c>
      <c r="P14" s="477">
        <v>16</v>
      </c>
      <c r="Q14" s="477"/>
      <c r="R14" s="477"/>
      <c r="S14" s="477">
        <v>20</v>
      </c>
      <c r="T14" s="477">
        <v>4</v>
      </c>
      <c r="U14" s="477">
        <v>24</v>
      </c>
      <c r="V14" s="477">
        <v>8</v>
      </c>
      <c r="W14" s="477">
        <v>263</v>
      </c>
      <c r="X14" s="477">
        <v>12</v>
      </c>
      <c r="Y14" s="477">
        <v>8</v>
      </c>
      <c r="Z14" s="477">
        <v>12</v>
      </c>
      <c r="AA14" s="477">
        <v>36</v>
      </c>
      <c r="AB14" s="477">
        <v>148</v>
      </c>
      <c r="AC14" s="477">
        <v>24</v>
      </c>
      <c r="AD14" s="477">
        <v>32</v>
      </c>
      <c r="AE14" s="477">
        <v>44</v>
      </c>
      <c r="AF14" s="477">
        <v>28</v>
      </c>
      <c r="AG14" s="477">
        <v>8</v>
      </c>
      <c r="AH14" s="108">
        <f t="shared" si="1"/>
        <v>1260</v>
      </c>
      <c r="AI14" s="62"/>
      <c r="AJ14" s="162" t="s">
        <v>34</v>
      </c>
      <c r="AK14" s="163" t="s">
        <v>35</v>
      </c>
    </row>
    <row r="15" spans="1:39" s="464" customFormat="1" x14ac:dyDescent="0.25">
      <c r="A15" s="162" t="s">
        <v>36</v>
      </c>
      <c r="B15" s="163" t="s">
        <v>37</v>
      </c>
      <c r="C15" s="476">
        <v>171.46</v>
      </c>
      <c r="D15" s="477">
        <v>379.77</v>
      </c>
      <c r="E15" s="477">
        <v>137.15</v>
      </c>
      <c r="F15" s="477">
        <v>353.13</v>
      </c>
      <c r="G15" s="477">
        <v>23.56</v>
      </c>
      <c r="H15" s="477">
        <v>204.5</v>
      </c>
      <c r="I15" s="477">
        <v>95.17</v>
      </c>
      <c r="J15" s="477">
        <v>124.46</v>
      </c>
      <c r="K15" s="477">
        <v>114.28</v>
      </c>
      <c r="L15" s="477">
        <v>185.47</v>
      </c>
      <c r="M15" s="477">
        <v>554.54999999999995</v>
      </c>
      <c r="N15" s="477">
        <v>604.87</v>
      </c>
      <c r="O15" s="477">
        <v>202.34</v>
      </c>
      <c r="P15" s="477">
        <v>118.9</v>
      </c>
      <c r="Q15" s="477">
        <f>222.8+5</f>
        <v>227.8</v>
      </c>
      <c r="R15" s="477">
        <v>223.75</v>
      </c>
      <c r="S15" s="477">
        <v>197.5</v>
      </c>
      <c r="T15" s="477">
        <v>440.39</v>
      </c>
      <c r="U15" s="477">
        <v>488.83</v>
      </c>
      <c r="V15" s="477">
        <v>289.94</v>
      </c>
      <c r="W15" s="477">
        <v>334.9</v>
      </c>
      <c r="X15" s="477">
        <v>362.47</v>
      </c>
      <c r="Y15" s="477">
        <v>340.61</v>
      </c>
      <c r="Z15" s="477">
        <v>286.61</v>
      </c>
      <c r="AA15" s="477">
        <v>925.12</v>
      </c>
      <c r="AB15" s="477">
        <v>1855.24</v>
      </c>
      <c r="AC15" s="477">
        <v>1099.72</v>
      </c>
      <c r="AD15" s="477">
        <v>413.85</v>
      </c>
      <c r="AE15" s="477">
        <v>578.24</v>
      </c>
      <c r="AF15" s="477">
        <v>785.95</v>
      </c>
      <c r="AG15" s="477">
        <v>708.11</v>
      </c>
      <c r="AH15" s="108">
        <f t="shared" si="1"/>
        <v>12828.64</v>
      </c>
      <c r="AI15" s="62"/>
      <c r="AJ15" s="162" t="s">
        <v>36</v>
      </c>
      <c r="AK15" s="163" t="s">
        <v>37</v>
      </c>
    </row>
    <row r="16" spans="1:39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hidden="1" x14ac:dyDescent="0.25">
      <c r="A17" s="162" t="s">
        <v>36</v>
      </c>
      <c r="B17" s="163" t="s">
        <v>225</v>
      </c>
      <c r="C17" s="476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/>
      <c r="D18" s="477"/>
      <c r="E18" s="477">
        <v>292.5</v>
      </c>
      <c r="F18" s="477">
        <v>100</v>
      </c>
      <c r="G18" s="477">
        <v>135</v>
      </c>
      <c r="H18" s="477"/>
      <c r="I18" s="477">
        <v>728.5</v>
      </c>
      <c r="J18" s="477"/>
      <c r="K18" s="477">
        <v>40</v>
      </c>
      <c r="L18" s="477">
        <v>470</v>
      </c>
      <c r="M18" s="477"/>
      <c r="N18" s="477">
        <v>125</v>
      </c>
      <c r="O18" s="477">
        <v>462.5</v>
      </c>
      <c r="P18" s="477">
        <v>272.5</v>
      </c>
      <c r="Q18" s="477">
        <v>60</v>
      </c>
      <c r="R18" s="477">
        <v>165</v>
      </c>
      <c r="S18" s="477">
        <v>150</v>
      </c>
      <c r="T18" s="477">
        <v>48</v>
      </c>
      <c r="U18" s="477">
        <v>67.5</v>
      </c>
      <c r="V18" s="477"/>
      <c r="W18" s="477">
        <v>96</v>
      </c>
      <c r="X18" s="477"/>
      <c r="Y18" s="477">
        <v>360</v>
      </c>
      <c r="Z18" s="477">
        <v>24</v>
      </c>
      <c r="AA18" s="477">
        <v>144</v>
      </c>
      <c r="AB18" s="477"/>
      <c r="AC18" s="477">
        <v>185</v>
      </c>
      <c r="AD18" s="477"/>
      <c r="AE18" s="477"/>
      <c r="AF18" s="477"/>
      <c r="AG18" s="477">
        <v>170</v>
      </c>
      <c r="AH18" s="108">
        <f t="shared" si="1"/>
        <v>4095.5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>
        <v>90</v>
      </c>
      <c r="M20" s="477">
        <v>180</v>
      </c>
      <c r="N20" s="477">
        <v>90</v>
      </c>
      <c r="O20" s="477">
        <v>135</v>
      </c>
      <c r="P20" s="477">
        <v>135</v>
      </c>
      <c r="Q20" s="477"/>
      <c r="R20" s="477">
        <v>90</v>
      </c>
      <c r="S20" s="477">
        <f>45+45</f>
        <v>90</v>
      </c>
      <c r="T20" s="477"/>
      <c r="U20" s="477"/>
      <c r="V20" s="477"/>
      <c r="W20" s="477"/>
      <c r="X20" s="477"/>
      <c r="Y20" s="477">
        <v>45</v>
      </c>
      <c r="Z20" s="477"/>
      <c r="AA20" s="477">
        <v>90</v>
      </c>
      <c r="AB20" s="477">
        <v>135</v>
      </c>
      <c r="AC20" s="477"/>
      <c r="AD20" s="477"/>
      <c r="AE20" s="477"/>
      <c r="AF20" s="477"/>
      <c r="AG20" s="477"/>
      <c r="AH20" s="108">
        <f>SUM(C20:AG20)</f>
        <v>1080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>
        <v>132</v>
      </c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132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2227.9</v>
      </c>
      <c r="D29" s="107">
        <f t="shared" si="3"/>
        <v>3419.3</v>
      </c>
      <c r="E29" s="107">
        <f t="shared" si="3"/>
        <v>4522.3999999999996</v>
      </c>
      <c r="F29" s="107">
        <f t="shared" si="3"/>
        <v>8805.5499999999993</v>
      </c>
      <c r="G29" s="107">
        <f t="shared" si="3"/>
        <v>295.75</v>
      </c>
      <c r="H29" s="107">
        <f t="shared" si="3"/>
        <v>1600.75</v>
      </c>
      <c r="I29" s="107">
        <f t="shared" si="3"/>
        <v>3347</v>
      </c>
      <c r="J29" s="107">
        <f t="shared" si="3"/>
        <v>1688.25</v>
      </c>
      <c r="K29" s="107">
        <f t="shared" si="3"/>
        <v>2385.2000000000003</v>
      </c>
      <c r="L29" s="107">
        <f t="shared" si="3"/>
        <v>5872.05</v>
      </c>
      <c r="M29" s="107">
        <f t="shared" si="3"/>
        <v>8484.6999999999989</v>
      </c>
      <c r="N29" s="107">
        <f t="shared" si="3"/>
        <v>8274.25</v>
      </c>
      <c r="O29" s="107">
        <f t="shared" si="3"/>
        <v>3964.45</v>
      </c>
      <c r="P29" s="107">
        <f t="shared" si="3"/>
        <v>4956</v>
      </c>
      <c r="Q29" s="107">
        <f t="shared" si="3"/>
        <v>3539.8</v>
      </c>
      <c r="R29" s="107">
        <f t="shared" si="3"/>
        <v>5050.3500000000004</v>
      </c>
      <c r="S29" s="107">
        <f t="shared" si="3"/>
        <v>5538</v>
      </c>
      <c r="T29" s="107">
        <f t="shared" si="3"/>
        <v>8285.9499999999989</v>
      </c>
      <c r="U29" s="107">
        <f t="shared" si="3"/>
        <v>8898.1</v>
      </c>
      <c r="V29" s="107">
        <f t="shared" si="3"/>
        <v>3917.65</v>
      </c>
      <c r="W29" s="107">
        <f t="shared" si="3"/>
        <v>5805.9999999999991</v>
      </c>
      <c r="X29" s="107">
        <f t="shared" si="3"/>
        <v>4224.9000000000005</v>
      </c>
      <c r="Y29" s="107">
        <f t="shared" si="3"/>
        <v>6886.9</v>
      </c>
      <c r="Z29" s="107">
        <f t="shared" si="3"/>
        <v>65755.7</v>
      </c>
      <c r="AA29" s="107">
        <f t="shared" si="3"/>
        <v>18132.87</v>
      </c>
      <c r="AB29" s="107">
        <f t="shared" si="3"/>
        <v>25529.99</v>
      </c>
      <c r="AC29" s="107">
        <f t="shared" si="3"/>
        <v>15340.6</v>
      </c>
      <c r="AD29" s="107">
        <f t="shared" si="3"/>
        <v>9795.0500000000011</v>
      </c>
      <c r="AE29" s="107">
        <f t="shared" si="3"/>
        <v>8849.9</v>
      </c>
      <c r="AF29" s="107">
        <f t="shared" si="3"/>
        <v>9498.9700000000012</v>
      </c>
      <c r="AG29" s="107">
        <f t="shared" si="3"/>
        <v>11198.89</v>
      </c>
      <c r="AH29" s="109">
        <f>SUM(C3:AG28)</f>
        <v>276093.16999999981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2227.9</v>
      </c>
      <c r="D30" s="72">
        <v>3419.3</v>
      </c>
      <c r="E30" s="72">
        <v>4522.3999999999996</v>
      </c>
      <c r="F30" s="72">
        <v>8805.5499999999993</v>
      </c>
      <c r="G30" s="72">
        <v>295.75</v>
      </c>
      <c r="H30" s="72">
        <v>1600.75</v>
      </c>
      <c r="I30" s="72">
        <v>3347</v>
      </c>
      <c r="J30" s="72">
        <v>1688.25</v>
      </c>
      <c r="K30" s="72">
        <v>2385.1999999999998</v>
      </c>
      <c r="L30" s="72">
        <v>5872.05</v>
      </c>
      <c r="M30" s="72">
        <v>8484.7000000000007</v>
      </c>
      <c r="N30" s="72">
        <v>8274.25</v>
      </c>
      <c r="O30" s="72">
        <v>3964.45</v>
      </c>
      <c r="P30" s="72">
        <v>4956</v>
      </c>
      <c r="Q30" s="72">
        <v>3539.8</v>
      </c>
      <c r="R30" s="72">
        <v>5050.3500000000004</v>
      </c>
      <c r="S30" s="72">
        <v>5538</v>
      </c>
      <c r="T30" s="72">
        <v>8285.9500000000007</v>
      </c>
      <c r="U30" s="72">
        <v>8898.1</v>
      </c>
      <c r="V30" s="72">
        <v>3917.65</v>
      </c>
      <c r="W30" s="72">
        <v>5806</v>
      </c>
      <c r="X30" s="72">
        <v>4224.8999999999996</v>
      </c>
      <c r="Y30" s="72">
        <v>6886.9</v>
      </c>
      <c r="Z30" s="72">
        <v>65755.7</v>
      </c>
      <c r="AA30" s="72">
        <v>18132.87</v>
      </c>
      <c r="AB30" s="72">
        <v>25529.99</v>
      </c>
      <c r="AC30" s="72">
        <v>15340.6</v>
      </c>
      <c r="AD30" s="72">
        <v>9795.0499999999993</v>
      </c>
      <c r="AE30" s="72">
        <v>8849.9</v>
      </c>
      <c r="AF30" s="72">
        <v>9498.9699999999993</v>
      </c>
      <c r="AG30" s="72">
        <v>11198.89</v>
      </c>
      <c r="AH30" s="191">
        <f>SUM(C30:AG30)</f>
        <v>276093.17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0</v>
      </c>
      <c r="AI31" s="85"/>
      <c r="AJ31" s="507" t="s">
        <v>127</v>
      </c>
      <c r="AK31" s="508"/>
      <c r="AL31" s="508"/>
      <c r="AM31" s="509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341.1</v>
      </c>
      <c r="D33" s="392">
        <v>768.8</v>
      </c>
      <c r="E33" s="392">
        <v>659.4</v>
      </c>
      <c r="F33" s="392">
        <v>1349.3</v>
      </c>
      <c r="G33" s="392">
        <v>15.75</v>
      </c>
      <c r="H33" s="392">
        <v>221</v>
      </c>
      <c r="I33" s="392">
        <v>267.5</v>
      </c>
      <c r="J33" s="392">
        <v>354.25</v>
      </c>
      <c r="K33" s="392">
        <v>215.5</v>
      </c>
      <c r="L33" s="392">
        <v>593.1</v>
      </c>
      <c r="M33" s="392">
        <v>1165.6500000000001</v>
      </c>
      <c r="N33" s="392">
        <v>1432.75</v>
      </c>
      <c r="O33" s="392">
        <v>490.3</v>
      </c>
      <c r="P33" s="392">
        <v>660.7</v>
      </c>
      <c r="Q33" s="392">
        <v>461.5</v>
      </c>
      <c r="R33" s="392">
        <v>443.7</v>
      </c>
      <c r="S33" s="392">
        <v>624.1</v>
      </c>
      <c r="T33" s="392">
        <v>1076.9000000000001</v>
      </c>
      <c r="U33" s="392">
        <v>1793</v>
      </c>
      <c r="V33" s="392">
        <v>805.8</v>
      </c>
      <c r="W33" s="392">
        <v>700</v>
      </c>
      <c r="X33" s="392">
        <v>827</v>
      </c>
      <c r="Y33" s="392">
        <v>696.5</v>
      </c>
      <c r="Z33" s="392">
        <f>850.1+58650</f>
        <v>59500.1</v>
      </c>
      <c r="AA33" s="392">
        <v>1958.9</v>
      </c>
      <c r="AB33" s="392">
        <v>3911.1</v>
      </c>
      <c r="AC33" s="392">
        <v>2321.3000000000002</v>
      </c>
      <c r="AD33" s="392">
        <v>1242.7</v>
      </c>
      <c r="AE33" s="392">
        <v>1006.27</v>
      </c>
      <c r="AF33" s="392">
        <v>1626.27</v>
      </c>
      <c r="AG33" s="393">
        <v>1756.6</v>
      </c>
      <c r="AH33" s="110">
        <f>SUM(C33:AG33)</f>
        <v>89286.840000000011</v>
      </c>
      <c r="AJ33" s="137" t="s">
        <v>60</v>
      </c>
      <c r="AK33" s="138" t="s">
        <v>122</v>
      </c>
      <c r="AL33" s="386">
        <f>SUM(C33:AF33)</f>
        <v>87530.240000000005</v>
      </c>
      <c r="AM33" s="387">
        <f>SUM(AG33)</f>
        <v>1756.6</v>
      </c>
    </row>
    <row r="34" spans="1:40" x14ac:dyDescent="0.25">
      <c r="A34" s="90" t="s">
        <v>60</v>
      </c>
      <c r="B34" s="91" t="s">
        <v>55</v>
      </c>
      <c r="C34" s="389">
        <v>1886.8</v>
      </c>
      <c r="D34" s="389">
        <v>2608.5</v>
      </c>
      <c r="E34" s="389">
        <v>3863</v>
      </c>
      <c r="F34" s="389">
        <v>7456.25</v>
      </c>
      <c r="G34" s="389">
        <v>280</v>
      </c>
      <c r="H34" s="389">
        <v>1379.75</v>
      </c>
      <c r="I34" s="389">
        <v>3079.5</v>
      </c>
      <c r="J34" s="389">
        <v>1334</v>
      </c>
      <c r="K34" s="389">
        <v>2169.6999999999998</v>
      </c>
      <c r="L34" s="389">
        <v>5278.95</v>
      </c>
      <c r="M34" s="389">
        <v>7319.05</v>
      </c>
      <c r="N34" s="389">
        <v>6842.5</v>
      </c>
      <c r="O34" s="389">
        <v>3474.55</v>
      </c>
      <c r="P34" s="389">
        <v>4299.3</v>
      </c>
      <c r="Q34" s="389">
        <v>3078.85</v>
      </c>
      <c r="R34" s="389">
        <v>4246.6499999999996</v>
      </c>
      <c r="S34" s="389">
        <v>4913.8999999999996</v>
      </c>
      <c r="T34" s="389">
        <v>7217.15</v>
      </c>
      <c r="U34" s="389">
        <v>7106.6</v>
      </c>
      <c r="V34" s="389">
        <v>3111.85</v>
      </c>
      <c r="W34" s="389">
        <v>5104</v>
      </c>
      <c r="X34" s="389">
        <v>3398.9</v>
      </c>
      <c r="Y34" s="389">
        <v>6190.4</v>
      </c>
      <c r="Z34" s="389">
        <v>6247.6</v>
      </c>
      <c r="AA34" s="389">
        <v>15667.67</v>
      </c>
      <c r="AB34" s="389">
        <v>21642.14</v>
      </c>
      <c r="AC34" s="391">
        <v>13582.35</v>
      </c>
      <c r="AD34" s="391">
        <v>8553.4</v>
      </c>
      <c r="AE34" s="391">
        <v>7845.9</v>
      </c>
      <c r="AF34" s="391">
        <v>7856.7</v>
      </c>
      <c r="AG34" s="391">
        <v>9442.2900000000009</v>
      </c>
      <c r="AH34" s="111">
        <f t="shared" ref="AH34:AH38" si="5">SUM(C34:AG34)</f>
        <v>186478.2</v>
      </c>
      <c r="AJ34" s="129" t="s">
        <v>60</v>
      </c>
      <c r="AK34" s="130" t="s">
        <v>198</v>
      </c>
      <c r="AL34" s="290">
        <f>SUM(C34:AB34)-AL45</f>
        <v>134810.31</v>
      </c>
      <c r="AM34" s="291">
        <f>SUM(AC34:AG34)-AM45</f>
        <v>45796.55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492"/>
      <c r="AG35" s="492"/>
      <c r="AH35" s="111">
        <f t="shared" si="5"/>
        <v>0</v>
      </c>
      <c r="AJ35" s="129" t="s">
        <v>60</v>
      </c>
      <c r="AK35" s="130" t="s">
        <v>123</v>
      </c>
      <c r="AL35" s="290">
        <f>SUM(C35:AE36)</f>
        <v>0</v>
      </c>
      <c r="AM35" s="291">
        <f>SUM(AF35:AG36)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>
        <v>360</v>
      </c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360</v>
      </c>
      <c r="AJ37" s="129" t="s">
        <v>67</v>
      </c>
      <c r="AK37" s="130" t="s">
        <v>91</v>
      </c>
      <c r="AL37" s="269">
        <f>AH37</f>
        <v>360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>
        <v>42</v>
      </c>
      <c r="E38" s="382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  <c r="X38" s="382"/>
      <c r="Y38" s="382"/>
      <c r="Z38" s="382"/>
      <c r="AA38" s="382"/>
      <c r="AB38" s="382"/>
      <c r="AC38" s="382"/>
      <c r="AD38" s="382"/>
      <c r="AE38" s="382"/>
      <c r="AF38" s="382">
        <v>16</v>
      </c>
      <c r="AG38" s="382"/>
      <c r="AH38" s="112">
        <f t="shared" si="5"/>
        <v>58</v>
      </c>
      <c r="AJ38" s="129" t="s">
        <v>109</v>
      </c>
      <c r="AK38" s="130" t="s">
        <v>156</v>
      </c>
      <c r="AL38" s="269">
        <f>AH38</f>
        <v>58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2227.9</v>
      </c>
      <c r="D39" s="107">
        <f t="shared" si="6"/>
        <v>3419.3</v>
      </c>
      <c r="E39" s="107">
        <f t="shared" si="6"/>
        <v>4522.3999999999996</v>
      </c>
      <c r="F39" s="107">
        <f t="shared" si="6"/>
        <v>8805.5499999999993</v>
      </c>
      <c r="G39" s="107">
        <f t="shared" si="6"/>
        <v>295.75</v>
      </c>
      <c r="H39" s="107">
        <f t="shared" si="6"/>
        <v>1600.75</v>
      </c>
      <c r="I39" s="107">
        <f t="shared" si="6"/>
        <v>3347</v>
      </c>
      <c r="J39" s="107">
        <f t="shared" si="6"/>
        <v>1688.25</v>
      </c>
      <c r="K39" s="107">
        <f t="shared" si="6"/>
        <v>2385.1999999999998</v>
      </c>
      <c r="L39" s="107">
        <f t="shared" si="6"/>
        <v>5872.05</v>
      </c>
      <c r="M39" s="107">
        <f t="shared" si="6"/>
        <v>8484.7000000000007</v>
      </c>
      <c r="N39" s="107">
        <f t="shared" si="6"/>
        <v>8275.25</v>
      </c>
      <c r="O39" s="107">
        <f t="shared" si="6"/>
        <v>3964.8500000000004</v>
      </c>
      <c r="P39" s="107">
        <f t="shared" si="6"/>
        <v>4960</v>
      </c>
      <c r="Q39" s="107">
        <f t="shared" si="6"/>
        <v>3540.35</v>
      </c>
      <c r="R39" s="107">
        <f t="shared" si="6"/>
        <v>5050.3499999999995</v>
      </c>
      <c r="S39" s="107">
        <f t="shared" si="6"/>
        <v>5538</v>
      </c>
      <c r="T39" s="107">
        <f t="shared" si="6"/>
        <v>8294.0499999999993</v>
      </c>
      <c r="U39" s="107">
        <f t="shared" si="6"/>
        <v>8899.6</v>
      </c>
      <c r="V39" s="107">
        <f t="shared" si="6"/>
        <v>3917.6499999999996</v>
      </c>
      <c r="W39" s="107">
        <f t="shared" si="6"/>
        <v>5804</v>
      </c>
      <c r="X39" s="107">
        <f t="shared" si="6"/>
        <v>4225.8999999999996</v>
      </c>
      <c r="Y39" s="107">
        <f t="shared" si="6"/>
        <v>6886.9</v>
      </c>
      <c r="Z39" s="107">
        <f t="shared" si="6"/>
        <v>65747.7</v>
      </c>
      <c r="AA39" s="107">
        <f t="shared" si="6"/>
        <v>17626.57</v>
      </c>
      <c r="AB39" s="107">
        <f t="shared" si="6"/>
        <v>25553.239999999998</v>
      </c>
      <c r="AC39" s="107">
        <f t="shared" si="6"/>
        <v>15903.650000000001</v>
      </c>
      <c r="AD39" s="107">
        <f t="shared" si="6"/>
        <v>9796.1</v>
      </c>
      <c r="AE39" s="107">
        <f t="shared" si="6"/>
        <v>8852.17</v>
      </c>
      <c r="AF39" s="107">
        <f t="shared" si="6"/>
        <v>9498.9699999999993</v>
      </c>
      <c r="AG39" s="107">
        <f t="shared" si="6"/>
        <v>11198.890000000001</v>
      </c>
      <c r="AH39" s="110">
        <f>SUM(C39:AG39)</f>
        <v>276183.04000000004</v>
      </c>
      <c r="AI39" s="59"/>
      <c r="AJ39" s="503" t="s">
        <v>76</v>
      </c>
      <c r="AK39" s="504"/>
      <c r="AL39" s="505">
        <f>SUM(AL33:AM38)</f>
        <v>270311.7</v>
      </c>
      <c r="AM39" s="506"/>
      <c r="AN39" s="273">
        <f>AL39-AH39+AL45+AM45+AL43</f>
        <v>-89.870000000023992</v>
      </c>
    </row>
    <row r="40" spans="1:40" x14ac:dyDescent="0.25">
      <c r="A40" s="203"/>
      <c r="B40" s="194" t="s">
        <v>104</v>
      </c>
      <c r="C40" s="72">
        <f>C30</f>
        <v>2227.9</v>
      </c>
      <c r="D40" s="72">
        <f t="shared" ref="D40:AG40" si="7">D30</f>
        <v>3419.3</v>
      </c>
      <c r="E40" s="72">
        <f t="shared" si="7"/>
        <v>4522.3999999999996</v>
      </c>
      <c r="F40" s="72">
        <f t="shared" si="7"/>
        <v>8805.5499999999993</v>
      </c>
      <c r="G40" s="72">
        <f t="shared" si="7"/>
        <v>295.75</v>
      </c>
      <c r="H40" s="72">
        <f t="shared" si="7"/>
        <v>1600.75</v>
      </c>
      <c r="I40" s="72">
        <f t="shared" si="7"/>
        <v>3347</v>
      </c>
      <c r="J40" s="72">
        <f t="shared" si="7"/>
        <v>1688.25</v>
      </c>
      <c r="K40" s="72">
        <f t="shared" si="7"/>
        <v>2385.1999999999998</v>
      </c>
      <c r="L40" s="72">
        <f t="shared" si="7"/>
        <v>5872.05</v>
      </c>
      <c r="M40" s="72">
        <f t="shared" si="7"/>
        <v>8484.7000000000007</v>
      </c>
      <c r="N40" s="72">
        <f t="shared" si="7"/>
        <v>8274.25</v>
      </c>
      <c r="O40" s="72">
        <f t="shared" si="7"/>
        <v>3964.45</v>
      </c>
      <c r="P40" s="72">
        <f t="shared" si="7"/>
        <v>4956</v>
      </c>
      <c r="Q40" s="72">
        <f t="shared" si="7"/>
        <v>3539.8</v>
      </c>
      <c r="R40" s="72">
        <f t="shared" si="7"/>
        <v>5050.3500000000004</v>
      </c>
      <c r="S40" s="72">
        <f t="shared" si="7"/>
        <v>5538</v>
      </c>
      <c r="T40" s="72">
        <f t="shared" si="7"/>
        <v>8285.9500000000007</v>
      </c>
      <c r="U40" s="72">
        <f t="shared" si="7"/>
        <v>8898.1</v>
      </c>
      <c r="V40" s="72">
        <f t="shared" si="7"/>
        <v>3917.65</v>
      </c>
      <c r="W40" s="72">
        <f t="shared" si="7"/>
        <v>5806</v>
      </c>
      <c r="X40" s="72">
        <f t="shared" si="7"/>
        <v>4224.8999999999996</v>
      </c>
      <c r="Y40" s="72">
        <f t="shared" si="7"/>
        <v>6886.9</v>
      </c>
      <c r="Z40" s="72">
        <f t="shared" si="7"/>
        <v>65755.7</v>
      </c>
      <c r="AA40" s="72">
        <f t="shared" si="7"/>
        <v>18132.87</v>
      </c>
      <c r="AB40" s="72">
        <f t="shared" si="7"/>
        <v>25529.99</v>
      </c>
      <c r="AC40" s="72">
        <f t="shared" si="7"/>
        <v>15340.6</v>
      </c>
      <c r="AD40" s="72">
        <f t="shared" si="7"/>
        <v>9795.0499999999993</v>
      </c>
      <c r="AE40" s="72">
        <f t="shared" si="7"/>
        <v>8849.9</v>
      </c>
      <c r="AF40" s="72">
        <f t="shared" si="7"/>
        <v>9498.9699999999993</v>
      </c>
      <c r="AG40" s="72">
        <f t="shared" si="7"/>
        <v>11198.89</v>
      </c>
      <c r="AH40" s="111">
        <f t="shared" ref="AH40:AH41" si="8">SUM(C40:AG40)</f>
        <v>276093.17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</v>
      </c>
      <c r="D41" s="133">
        <f>D39-D40</f>
        <v>0</v>
      </c>
      <c r="E41" s="133">
        <f>E39-E40</f>
        <v>0</v>
      </c>
      <c r="F41" s="133">
        <f t="shared" ref="F41:AG41" si="9">F39-F40</f>
        <v>0</v>
      </c>
      <c r="G41" s="133">
        <f t="shared" si="9"/>
        <v>0</v>
      </c>
      <c r="H41" s="133">
        <f t="shared" si="9"/>
        <v>0</v>
      </c>
      <c r="I41" s="133">
        <f t="shared" si="9"/>
        <v>0</v>
      </c>
      <c r="J41" s="133">
        <f t="shared" si="9"/>
        <v>0</v>
      </c>
      <c r="K41" s="133">
        <f t="shared" si="9"/>
        <v>0</v>
      </c>
      <c r="L41" s="133">
        <f t="shared" si="9"/>
        <v>0</v>
      </c>
      <c r="M41" s="133">
        <f t="shared" si="9"/>
        <v>0</v>
      </c>
      <c r="N41" s="133">
        <f t="shared" si="9"/>
        <v>1</v>
      </c>
      <c r="O41" s="133">
        <f t="shared" si="9"/>
        <v>0.4000000000005457</v>
      </c>
      <c r="P41" s="133">
        <f t="shared" si="9"/>
        <v>4</v>
      </c>
      <c r="Q41" s="133">
        <f t="shared" si="9"/>
        <v>0.54999999999972715</v>
      </c>
      <c r="R41" s="133">
        <f t="shared" si="9"/>
        <v>0</v>
      </c>
      <c r="S41" s="133">
        <f t="shared" si="9"/>
        <v>0</v>
      </c>
      <c r="T41" s="133">
        <f t="shared" si="9"/>
        <v>8.0999999999985448</v>
      </c>
      <c r="U41" s="133">
        <f t="shared" si="9"/>
        <v>1.5</v>
      </c>
      <c r="V41" s="133">
        <f t="shared" si="9"/>
        <v>0</v>
      </c>
      <c r="W41" s="133">
        <f t="shared" si="9"/>
        <v>-2</v>
      </c>
      <c r="X41" s="133">
        <f t="shared" si="9"/>
        <v>1</v>
      </c>
      <c r="Y41" s="133">
        <f t="shared" si="9"/>
        <v>0</v>
      </c>
      <c r="Z41" s="133">
        <f t="shared" si="9"/>
        <v>-8</v>
      </c>
      <c r="AA41" s="133">
        <f t="shared" si="9"/>
        <v>-506.29999999999927</v>
      </c>
      <c r="AB41" s="133">
        <f t="shared" si="9"/>
        <v>23.249999999996362</v>
      </c>
      <c r="AC41" s="133">
        <f t="shared" si="9"/>
        <v>563.05000000000109</v>
      </c>
      <c r="AD41" s="133">
        <f t="shared" si="9"/>
        <v>1.0500000000010914</v>
      </c>
      <c r="AE41" s="133">
        <f t="shared" si="9"/>
        <v>2.2700000000004366</v>
      </c>
      <c r="AF41" s="133">
        <f t="shared" si="9"/>
        <v>0</v>
      </c>
      <c r="AG41" s="133">
        <f t="shared" si="9"/>
        <v>0</v>
      </c>
      <c r="AH41" s="112">
        <f t="shared" si="8"/>
        <v>89.869999999998527</v>
      </c>
      <c r="AJ41" s="377">
        <f>AH39-AH40</f>
        <v>89.870000000053551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0</v>
      </c>
      <c r="D43" s="114">
        <f t="shared" si="10"/>
        <v>0</v>
      </c>
      <c r="E43" s="114">
        <f t="shared" si="10"/>
        <v>0</v>
      </c>
      <c r="F43" s="114">
        <f t="shared" si="10"/>
        <v>0</v>
      </c>
      <c r="G43" s="114">
        <f t="shared" si="10"/>
        <v>0</v>
      </c>
      <c r="H43" s="114">
        <f t="shared" si="10"/>
        <v>0</v>
      </c>
      <c r="I43" s="114">
        <f t="shared" si="10"/>
        <v>0</v>
      </c>
      <c r="J43" s="114">
        <f t="shared" si="10"/>
        <v>0</v>
      </c>
      <c r="K43" s="114">
        <f t="shared" si="10"/>
        <v>0</v>
      </c>
      <c r="L43" s="114">
        <f t="shared" si="10"/>
        <v>0</v>
      </c>
      <c r="M43" s="114">
        <f t="shared" si="10"/>
        <v>0</v>
      </c>
      <c r="N43" s="114">
        <f t="shared" si="10"/>
        <v>-1</v>
      </c>
      <c r="O43" s="114">
        <f t="shared" si="10"/>
        <v>-0.4000000000005457</v>
      </c>
      <c r="P43" s="114">
        <f t="shared" si="10"/>
        <v>-4</v>
      </c>
      <c r="Q43" s="114">
        <f t="shared" si="10"/>
        <v>-0.54999999999972715</v>
      </c>
      <c r="R43" s="114">
        <f t="shared" si="10"/>
        <v>0</v>
      </c>
      <c r="S43" s="114">
        <f t="shared" si="10"/>
        <v>0</v>
      </c>
      <c r="T43" s="114">
        <f t="shared" si="10"/>
        <v>-8.1000000000003638</v>
      </c>
      <c r="U43" s="114">
        <f t="shared" si="10"/>
        <v>-1.5</v>
      </c>
      <c r="V43" s="114">
        <f t="shared" si="10"/>
        <v>0</v>
      </c>
      <c r="W43" s="114">
        <f t="shared" si="10"/>
        <v>1.9999999999990905</v>
      </c>
      <c r="X43" s="114">
        <f t="shared" si="10"/>
        <v>-0.99999999999909051</v>
      </c>
      <c r="Y43" s="114">
        <f t="shared" si="10"/>
        <v>0</v>
      </c>
      <c r="Z43" s="114">
        <f t="shared" si="10"/>
        <v>8</v>
      </c>
      <c r="AA43" s="114">
        <f t="shared" si="10"/>
        <v>506.29999999999927</v>
      </c>
      <c r="AB43" s="114">
        <f t="shared" si="10"/>
        <v>-23.249999999996362</v>
      </c>
      <c r="AC43" s="114">
        <f t="shared" si="10"/>
        <v>-563.05000000000109</v>
      </c>
      <c r="AD43" s="114">
        <f t="shared" si="10"/>
        <v>-1.0499999999992724</v>
      </c>
      <c r="AE43" s="114">
        <f t="shared" si="10"/>
        <v>-2.2700000000004366</v>
      </c>
      <c r="AF43" s="114">
        <f t="shared" si="10"/>
        <v>0</v>
      </c>
      <c r="AG43" s="114">
        <f t="shared" si="10"/>
        <v>0</v>
      </c>
      <c r="AH43" s="115">
        <f>SUM(C43:AG43)</f>
        <v>-89.869999999998527</v>
      </c>
      <c r="AI43" s="62"/>
      <c r="AJ43" s="211" t="s">
        <v>32</v>
      </c>
      <c r="AK43" s="212" t="s">
        <v>90</v>
      </c>
      <c r="AL43" s="271">
        <f>AH43</f>
        <v>-89.869999999998527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276093.17000000004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212">
        <v>58.82</v>
      </c>
      <c r="D45" s="212">
        <v>82.95</v>
      </c>
      <c r="E45" s="212">
        <v>122.88</v>
      </c>
      <c r="F45" s="212">
        <v>236.49</v>
      </c>
      <c r="G45" s="212">
        <v>19.260000000000002</v>
      </c>
      <c r="H45" s="212">
        <v>43.06</v>
      </c>
      <c r="I45" s="212">
        <v>98.46</v>
      </c>
      <c r="J45" s="212">
        <v>41.58</v>
      </c>
      <c r="K45" s="212">
        <v>67.599999999999994</v>
      </c>
      <c r="L45" s="212">
        <v>166.23</v>
      </c>
      <c r="M45" s="212">
        <v>229.31</v>
      </c>
      <c r="N45" s="212">
        <v>213.43</v>
      </c>
      <c r="O45" s="212">
        <v>108.35</v>
      </c>
      <c r="P45" s="212">
        <v>134.85</v>
      </c>
      <c r="Q45" s="212">
        <v>101.57</v>
      </c>
      <c r="R45" s="212">
        <v>134.59</v>
      </c>
      <c r="S45" s="212">
        <v>158.77000000000001</v>
      </c>
      <c r="T45" s="212">
        <v>226.58</v>
      </c>
      <c r="U45" s="212">
        <v>224.03</v>
      </c>
      <c r="V45" s="212">
        <v>98.16</v>
      </c>
      <c r="W45" s="212">
        <v>159.15</v>
      </c>
      <c r="X45" s="212">
        <v>105.93</v>
      </c>
      <c r="Y45" s="212">
        <v>193.02</v>
      </c>
      <c r="Z45" s="212">
        <v>197.06</v>
      </c>
      <c r="AA45" s="212">
        <v>490.34</v>
      </c>
      <c r="AB45" s="212">
        <v>674.78</v>
      </c>
      <c r="AC45" s="493">
        <v>426.97</v>
      </c>
      <c r="AD45" s="493">
        <v>269.04000000000002</v>
      </c>
      <c r="AE45" s="493">
        <v>244.63</v>
      </c>
      <c r="AF45" s="493">
        <v>246.07</v>
      </c>
      <c r="AG45" s="494">
        <v>297.38</v>
      </c>
      <c r="AH45" s="115">
        <f t="shared" ref="AH45" si="11">SUM(C45:AG45)</f>
        <v>5871.34</v>
      </c>
      <c r="AI45" s="62"/>
      <c r="AJ45" s="211" t="s">
        <v>196</v>
      </c>
      <c r="AK45" s="212" t="s">
        <v>197</v>
      </c>
      <c r="AL45" s="271">
        <f>SUM(C45:AB45)</f>
        <v>4387.25</v>
      </c>
      <c r="AM45" s="272">
        <f>SUM(AC45:AG45)</f>
        <v>1484.0900000000001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1827.98</v>
      </c>
      <c r="D46" s="479">
        <f t="shared" ref="D46:AG46" si="12">D34-D45</f>
        <v>2525.5500000000002</v>
      </c>
      <c r="E46" s="479">
        <f t="shared" si="12"/>
        <v>3740.12</v>
      </c>
      <c r="F46" s="479">
        <f t="shared" si="12"/>
        <v>7219.76</v>
      </c>
      <c r="G46" s="479">
        <f t="shared" si="12"/>
        <v>260.74</v>
      </c>
      <c r="H46" s="479">
        <f t="shared" si="12"/>
        <v>1336.69</v>
      </c>
      <c r="I46" s="479">
        <f t="shared" si="12"/>
        <v>2981.04</v>
      </c>
      <c r="J46" s="479">
        <f t="shared" si="12"/>
        <v>1292.42</v>
      </c>
      <c r="K46" s="479">
        <f t="shared" si="12"/>
        <v>2102.1</v>
      </c>
      <c r="L46" s="479">
        <f t="shared" si="12"/>
        <v>5112.72</v>
      </c>
      <c r="M46" s="479">
        <f t="shared" si="12"/>
        <v>7089.74</v>
      </c>
      <c r="N46" s="479">
        <f t="shared" si="12"/>
        <v>6629.07</v>
      </c>
      <c r="O46" s="479">
        <f t="shared" si="12"/>
        <v>3366.2000000000003</v>
      </c>
      <c r="P46" s="479">
        <f t="shared" si="12"/>
        <v>4164.45</v>
      </c>
      <c r="Q46" s="479">
        <f t="shared" si="12"/>
        <v>2977.2799999999997</v>
      </c>
      <c r="R46" s="479">
        <f t="shared" si="12"/>
        <v>4112.0599999999995</v>
      </c>
      <c r="S46" s="479">
        <f t="shared" si="12"/>
        <v>4755.1299999999992</v>
      </c>
      <c r="T46" s="479">
        <f t="shared" si="12"/>
        <v>6990.57</v>
      </c>
      <c r="U46" s="479">
        <f t="shared" si="12"/>
        <v>6882.5700000000006</v>
      </c>
      <c r="V46" s="479">
        <f t="shared" si="12"/>
        <v>3013.69</v>
      </c>
      <c r="W46" s="479">
        <f t="shared" si="12"/>
        <v>4944.8500000000004</v>
      </c>
      <c r="X46" s="479">
        <f t="shared" si="12"/>
        <v>3292.9700000000003</v>
      </c>
      <c r="Y46" s="479">
        <f t="shared" si="12"/>
        <v>5997.3799999999992</v>
      </c>
      <c r="Z46" s="479">
        <f t="shared" si="12"/>
        <v>6050.54</v>
      </c>
      <c r="AA46" s="479">
        <f t="shared" si="12"/>
        <v>15177.33</v>
      </c>
      <c r="AB46" s="479">
        <f t="shared" si="12"/>
        <v>20967.36</v>
      </c>
      <c r="AC46" s="479">
        <f t="shared" si="12"/>
        <v>13155.380000000001</v>
      </c>
      <c r="AD46" s="479">
        <f t="shared" si="12"/>
        <v>8284.3599999999988</v>
      </c>
      <c r="AE46" s="479">
        <f t="shared" si="12"/>
        <v>7601.2699999999995</v>
      </c>
      <c r="AF46" s="479">
        <f t="shared" si="12"/>
        <v>7610.63</v>
      </c>
      <c r="AG46" s="479">
        <f t="shared" si="12"/>
        <v>9144.9100000000017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90</v>
      </c>
      <c r="D47" s="84">
        <v>160</v>
      </c>
      <c r="E47" s="84">
        <v>126</v>
      </c>
      <c r="F47" s="84">
        <v>356</v>
      </c>
      <c r="G47" s="84">
        <v>3</v>
      </c>
      <c r="H47" s="84">
        <v>108</v>
      </c>
      <c r="I47" s="84">
        <v>66</v>
      </c>
      <c r="J47" s="84">
        <v>81</v>
      </c>
      <c r="K47" s="84">
        <v>82</v>
      </c>
      <c r="L47" s="84">
        <v>215</v>
      </c>
      <c r="M47" s="84">
        <v>359</v>
      </c>
      <c r="N47" s="84">
        <v>340</v>
      </c>
      <c r="O47" s="84">
        <v>134</v>
      </c>
      <c r="P47" s="84">
        <v>189</v>
      </c>
      <c r="Q47" s="84">
        <v>167</v>
      </c>
      <c r="R47" s="84">
        <v>185</v>
      </c>
      <c r="S47" s="84">
        <v>257</v>
      </c>
      <c r="T47" s="84">
        <v>374</v>
      </c>
      <c r="U47" s="84">
        <v>375</v>
      </c>
      <c r="V47" s="84">
        <v>176</v>
      </c>
      <c r="W47" s="84">
        <v>321</v>
      </c>
      <c r="X47" s="84">
        <v>233</v>
      </c>
      <c r="Y47" s="84">
        <v>306</v>
      </c>
      <c r="Z47" s="84">
        <v>324</v>
      </c>
      <c r="AA47" s="84">
        <v>773</v>
      </c>
      <c r="AB47" s="84">
        <v>1133</v>
      </c>
      <c r="AC47" s="84">
        <v>661</v>
      </c>
      <c r="AD47" s="84">
        <v>413</v>
      </c>
      <c r="AE47" s="84">
        <v>431</v>
      </c>
      <c r="AF47" s="84">
        <v>384</v>
      </c>
      <c r="AG47" s="84">
        <v>450</v>
      </c>
      <c r="AH47" s="103">
        <f>SUM(C47:AG47)</f>
        <v>9272</v>
      </c>
      <c r="AJ47" s="126">
        <f>AH47</f>
        <v>9272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40</v>
      </c>
      <c r="D48" s="94">
        <v>38</v>
      </c>
      <c r="E48" s="94">
        <v>73</v>
      </c>
      <c r="F48" s="94">
        <v>59</v>
      </c>
      <c r="G48" s="94">
        <v>17</v>
      </c>
      <c r="H48" s="94">
        <v>34</v>
      </c>
      <c r="I48" s="94">
        <v>50</v>
      </c>
      <c r="J48" s="94">
        <v>57</v>
      </c>
      <c r="K48" s="94">
        <v>41</v>
      </c>
      <c r="L48" s="94">
        <v>40</v>
      </c>
      <c r="M48" s="94">
        <v>46</v>
      </c>
      <c r="N48" s="94">
        <v>101</v>
      </c>
      <c r="O48" s="94">
        <v>56</v>
      </c>
      <c r="P48" s="94">
        <v>36</v>
      </c>
      <c r="Q48" s="94">
        <v>45</v>
      </c>
      <c r="R48" s="94">
        <v>68</v>
      </c>
      <c r="S48" s="94">
        <v>80</v>
      </c>
      <c r="T48" s="94">
        <v>109</v>
      </c>
      <c r="U48" s="94">
        <v>87</v>
      </c>
      <c r="V48" s="94">
        <v>45</v>
      </c>
      <c r="W48" s="94">
        <v>20</v>
      </c>
      <c r="X48" s="94">
        <v>57</v>
      </c>
      <c r="Y48" s="94">
        <v>51</v>
      </c>
      <c r="Z48" s="94">
        <v>70</v>
      </c>
      <c r="AA48" s="94">
        <v>61</v>
      </c>
      <c r="AB48" s="94">
        <v>114</v>
      </c>
      <c r="AC48" s="94">
        <v>121</v>
      </c>
      <c r="AD48" s="94">
        <v>59</v>
      </c>
      <c r="AE48" s="94">
        <v>78</v>
      </c>
      <c r="AF48" s="94">
        <v>75</v>
      </c>
      <c r="AG48" s="94">
        <v>101</v>
      </c>
      <c r="AH48" s="105">
        <f>SUM(C48:AG48)</f>
        <v>1929</v>
      </c>
      <c r="AJ48" s="135">
        <f>AH48</f>
        <v>1929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130</v>
      </c>
      <c r="D50" s="212">
        <f t="shared" ref="D50:AG50" si="13">D47+D48</f>
        <v>198</v>
      </c>
      <c r="E50" s="212">
        <f t="shared" si="13"/>
        <v>199</v>
      </c>
      <c r="F50" s="212">
        <f t="shared" si="13"/>
        <v>415</v>
      </c>
      <c r="G50" s="212">
        <f t="shared" si="13"/>
        <v>20</v>
      </c>
      <c r="H50" s="212">
        <f t="shared" si="13"/>
        <v>142</v>
      </c>
      <c r="I50" s="212">
        <f t="shared" si="13"/>
        <v>116</v>
      </c>
      <c r="J50" s="212">
        <f t="shared" si="13"/>
        <v>138</v>
      </c>
      <c r="K50" s="212">
        <f t="shared" si="13"/>
        <v>123</v>
      </c>
      <c r="L50" s="212">
        <f t="shared" si="13"/>
        <v>255</v>
      </c>
      <c r="M50" s="212">
        <f t="shared" si="13"/>
        <v>405</v>
      </c>
      <c r="N50" s="212">
        <f t="shared" si="13"/>
        <v>441</v>
      </c>
      <c r="O50" s="212">
        <f t="shared" si="13"/>
        <v>190</v>
      </c>
      <c r="P50" s="212">
        <f t="shared" si="13"/>
        <v>225</v>
      </c>
      <c r="Q50" s="212">
        <f t="shared" si="13"/>
        <v>212</v>
      </c>
      <c r="R50" s="212">
        <f t="shared" si="13"/>
        <v>253</v>
      </c>
      <c r="S50" s="212">
        <f t="shared" si="13"/>
        <v>337</v>
      </c>
      <c r="T50" s="212">
        <f t="shared" si="13"/>
        <v>483</v>
      </c>
      <c r="U50" s="212">
        <f t="shared" si="13"/>
        <v>462</v>
      </c>
      <c r="V50" s="212">
        <f t="shared" si="13"/>
        <v>221</v>
      </c>
      <c r="W50" s="212">
        <f t="shared" si="13"/>
        <v>341</v>
      </c>
      <c r="X50" s="212">
        <f t="shared" si="13"/>
        <v>290</v>
      </c>
      <c r="Y50" s="212">
        <f t="shared" si="13"/>
        <v>357</v>
      </c>
      <c r="Z50" s="212">
        <f t="shared" si="13"/>
        <v>394</v>
      </c>
      <c r="AA50" s="212">
        <f t="shared" si="13"/>
        <v>834</v>
      </c>
      <c r="AB50" s="212">
        <f t="shared" si="13"/>
        <v>1247</v>
      </c>
      <c r="AC50" s="212">
        <f t="shared" si="13"/>
        <v>782</v>
      </c>
      <c r="AD50" s="212">
        <f t="shared" si="13"/>
        <v>472</v>
      </c>
      <c r="AE50" s="212">
        <f t="shared" si="13"/>
        <v>509</v>
      </c>
      <c r="AF50" s="212">
        <f t="shared" si="13"/>
        <v>459</v>
      </c>
      <c r="AG50" s="281">
        <f t="shared" si="13"/>
        <v>551</v>
      </c>
      <c r="AH50" s="280">
        <f>SUM(C50:AG50)</f>
        <v>11201</v>
      </c>
      <c r="AJ50" s="211">
        <f>AH50</f>
        <v>11201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14.24923076923077</v>
      </c>
      <c r="D52" s="215">
        <f t="shared" ref="D52:AG52" si="14">IF(D50&lt;=1,0,IF(D50&gt;=0,(SUM(D4+D5)/D50)))</f>
        <v>13.064646464646465</v>
      </c>
      <c r="E52" s="215">
        <f t="shared" si="14"/>
        <v>11.248241206030151</v>
      </c>
      <c r="F52" s="215">
        <f t="shared" si="14"/>
        <v>16.957108433734938</v>
      </c>
      <c r="G52" s="215">
        <f t="shared" si="14"/>
        <v>0</v>
      </c>
      <c r="H52" s="215">
        <f t="shared" si="14"/>
        <v>8.330985915492958</v>
      </c>
      <c r="I52" s="215">
        <f t="shared" si="14"/>
        <v>12.137931034482758</v>
      </c>
      <c r="J52" s="215">
        <f t="shared" si="14"/>
        <v>11.130434782608695</v>
      </c>
      <c r="K52" s="215">
        <f t="shared" si="14"/>
        <v>11.814634146341463</v>
      </c>
      <c r="L52" s="215">
        <f t="shared" si="14"/>
        <v>14.294901960784314</v>
      </c>
      <c r="M52" s="215">
        <f t="shared" si="14"/>
        <v>17.030123456790122</v>
      </c>
      <c r="N52" s="215">
        <f t="shared" si="14"/>
        <v>12.344671201814059</v>
      </c>
      <c r="O52" s="215">
        <f t="shared" si="14"/>
        <v>14.048421052631578</v>
      </c>
      <c r="P52" s="215">
        <f t="shared" si="14"/>
        <v>13.844444444444445</v>
      </c>
      <c r="Q52" s="215">
        <f t="shared" si="14"/>
        <v>15.805660377358491</v>
      </c>
      <c r="R52" s="215">
        <f t="shared" si="14"/>
        <v>12.409486166007905</v>
      </c>
      <c r="S52" s="215">
        <f t="shared" si="14"/>
        <v>12.82492581602374</v>
      </c>
      <c r="T52" s="215">
        <f t="shared" si="14"/>
        <v>13.482815734989648</v>
      </c>
      <c r="U52" s="215">
        <f t="shared" si="14"/>
        <v>15.172294372294374</v>
      </c>
      <c r="V52" s="215">
        <f t="shared" si="14"/>
        <v>14.626244343891402</v>
      </c>
      <c r="W52" s="215">
        <f t="shared" si="14"/>
        <v>12.945454545454544</v>
      </c>
      <c r="X52" s="215">
        <f t="shared" si="14"/>
        <v>12.539310344827587</v>
      </c>
      <c r="Y52" s="215">
        <f t="shared" si="14"/>
        <v>13.239215686274509</v>
      </c>
      <c r="Z52" s="215">
        <f t="shared" si="14"/>
        <v>13.784771573604061</v>
      </c>
      <c r="AA52" s="215">
        <f t="shared" si="14"/>
        <v>16.995683453237408</v>
      </c>
      <c r="AB52" s="215">
        <f t="shared" si="14"/>
        <v>17.273456295108261</v>
      </c>
      <c r="AC52" s="215">
        <f t="shared" si="14"/>
        <v>13.472634271099745</v>
      </c>
      <c r="AD52" s="215">
        <f t="shared" si="14"/>
        <v>15.246186440677965</v>
      </c>
      <c r="AE52" s="215">
        <f t="shared" si="14"/>
        <v>14.65893909626719</v>
      </c>
      <c r="AF52" s="215">
        <f t="shared" si="14"/>
        <v>15.29673202614379</v>
      </c>
      <c r="AG52" s="215">
        <f t="shared" si="14"/>
        <v>13.605081669691469</v>
      </c>
      <c r="AH52" s="280">
        <f>IFERROR(AVERAGEIF(C52:AG52, "&lt;&gt;0"),)</f>
        <v>13.795822236066162</v>
      </c>
      <c r="AJ52" s="221">
        <f>AH52</f>
        <v>13.795822236066162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20.582222222222224</v>
      </c>
      <c r="D54" s="242">
        <f t="shared" ref="D54:AG54" si="15">IF(D47&lt;=1,0,IF(D47&gt;=0,(SUM(D4+D5)/D47)))</f>
        <v>16.1675</v>
      </c>
      <c r="E54" s="242">
        <f t="shared" si="15"/>
        <v>17.765079365079366</v>
      </c>
      <c r="F54" s="242">
        <f t="shared" si="15"/>
        <v>19.767415730337078</v>
      </c>
      <c r="G54" s="242">
        <f t="shared" si="15"/>
        <v>0</v>
      </c>
      <c r="H54" s="242">
        <f t="shared" si="15"/>
        <v>10.953703703703704</v>
      </c>
      <c r="I54" s="242">
        <f t="shared" si="15"/>
        <v>21.333333333333332</v>
      </c>
      <c r="J54" s="242">
        <f t="shared" si="15"/>
        <v>18.962962962962962</v>
      </c>
      <c r="K54" s="242">
        <f t="shared" si="15"/>
        <v>17.721951219512196</v>
      </c>
      <c r="L54" s="242">
        <f t="shared" si="15"/>
        <v>16.954418604651163</v>
      </c>
      <c r="M54" s="242">
        <f t="shared" si="15"/>
        <v>19.212256267409469</v>
      </c>
      <c r="N54" s="242">
        <f t="shared" si="15"/>
        <v>16.011764705882353</v>
      </c>
      <c r="O54" s="242">
        <f t="shared" si="15"/>
        <v>19.919402985074626</v>
      </c>
      <c r="P54" s="242">
        <f t="shared" si="15"/>
        <v>16.481481481481481</v>
      </c>
      <c r="Q54" s="242">
        <f t="shared" si="15"/>
        <v>20.064670658682637</v>
      </c>
      <c r="R54" s="242">
        <f t="shared" si="15"/>
        <v>16.970810810810811</v>
      </c>
      <c r="S54" s="242">
        <f t="shared" si="15"/>
        <v>16.817120622568094</v>
      </c>
      <c r="T54" s="242">
        <f t="shared" si="15"/>
        <v>17.41229946524064</v>
      </c>
      <c r="U54" s="242">
        <f t="shared" si="15"/>
        <v>18.692266666666669</v>
      </c>
      <c r="V54" s="242">
        <f t="shared" si="15"/>
        <v>18.365909090909092</v>
      </c>
      <c r="W54" s="242">
        <f t="shared" si="15"/>
        <v>13.752024922118379</v>
      </c>
      <c r="X54" s="242">
        <f t="shared" si="15"/>
        <v>15.6068669527897</v>
      </c>
      <c r="Y54" s="242">
        <f t="shared" si="15"/>
        <v>15.445751633986927</v>
      </c>
      <c r="Z54" s="242">
        <f t="shared" si="15"/>
        <v>16.762962962962963</v>
      </c>
      <c r="AA54" s="242">
        <f t="shared" si="15"/>
        <v>18.336869340232859</v>
      </c>
      <c r="AB54" s="242">
        <f t="shared" si="15"/>
        <v>19.011473962930275</v>
      </c>
      <c r="AC54" s="242">
        <f t="shared" si="15"/>
        <v>15.938880484114978</v>
      </c>
      <c r="AD54" s="242">
        <f t="shared" si="15"/>
        <v>17.424213075060532</v>
      </c>
      <c r="AE54" s="242">
        <f t="shared" si="15"/>
        <v>17.311832946635729</v>
      </c>
      <c r="AF54" s="242">
        <f t="shared" si="15"/>
        <v>18.284375000000001</v>
      </c>
      <c r="AG54" s="242">
        <f t="shared" si="15"/>
        <v>16.658666666666665</v>
      </c>
      <c r="AH54" s="279">
        <f>IFERROR(AVERAGEIF(C54:AG54, "&lt;&gt;0"),)</f>
        <v>17.489682928134229</v>
      </c>
      <c r="AI54" s="243"/>
      <c r="AJ54" s="244">
        <f>AH54</f>
        <v>17.489682928134229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/>
      <c r="D57" s="91"/>
      <c r="E57" s="91"/>
      <c r="F57" s="91"/>
      <c r="G57" s="91"/>
      <c r="H57" s="91">
        <v>93</v>
      </c>
      <c r="I57" s="91">
        <v>98</v>
      </c>
      <c r="J57" s="91">
        <v>98</v>
      </c>
      <c r="K57" s="91">
        <v>99</v>
      </c>
      <c r="L57" s="91">
        <v>100</v>
      </c>
      <c r="M57" s="91">
        <v>102</v>
      </c>
      <c r="N57" s="91">
        <v>102</v>
      </c>
      <c r="O57" s="91">
        <v>102</v>
      </c>
      <c r="P57" s="91">
        <v>99</v>
      </c>
      <c r="Q57" s="91">
        <v>102</v>
      </c>
      <c r="R57" s="91"/>
      <c r="S57" s="91">
        <v>99</v>
      </c>
      <c r="T57" s="91">
        <v>102</v>
      </c>
      <c r="U57" s="91">
        <v>100</v>
      </c>
      <c r="V57" s="91">
        <v>100</v>
      </c>
      <c r="W57" s="91">
        <v>102</v>
      </c>
      <c r="X57" s="91">
        <v>99</v>
      </c>
      <c r="Y57" s="91">
        <v>99</v>
      </c>
      <c r="Z57" s="91">
        <v>99</v>
      </c>
      <c r="AA57" s="91">
        <v>102</v>
      </c>
      <c r="AB57" s="91">
        <v>102</v>
      </c>
      <c r="AC57" s="91">
        <v>102</v>
      </c>
      <c r="AD57" s="91">
        <v>99</v>
      </c>
      <c r="AE57" s="91">
        <v>99</v>
      </c>
      <c r="AF57" s="91">
        <v>99</v>
      </c>
      <c r="AG57" s="91">
        <v>99</v>
      </c>
      <c r="AH57" s="302">
        <f>IFERROR(AVERAGEIF(C57:AG57,"&lt;&gt;0"),)</f>
        <v>99.88</v>
      </c>
      <c r="AJ57" s="303">
        <f>AH57</f>
        <v>99.88</v>
      </c>
      <c r="AK57" s="304" t="s">
        <v>133</v>
      </c>
    </row>
    <row r="58" spans="1:37" x14ac:dyDescent="0.25">
      <c r="A58" s="90"/>
      <c r="B58" s="301" t="s">
        <v>155</v>
      </c>
      <c r="C58" s="91"/>
      <c r="D58" s="91"/>
      <c r="E58" s="91"/>
      <c r="F58" s="91"/>
      <c r="G58" s="91"/>
      <c r="H58" s="91">
        <v>70</v>
      </c>
      <c r="I58" s="91" t="s">
        <v>236</v>
      </c>
      <c r="J58" s="91" t="s">
        <v>236</v>
      </c>
      <c r="K58" s="91">
        <v>80</v>
      </c>
      <c r="L58" s="91">
        <v>83</v>
      </c>
      <c r="M58" s="91">
        <v>85</v>
      </c>
      <c r="N58" s="91">
        <v>83</v>
      </c>
      <c r="O58" s="91">
        <v>83</v>
      </c>
      <c r="P58" s="91">
        <v>81</v>
      </c>
      <c r="Q58" s="91">
        <v>82</v>
      </c>
      <c r="R58" s="91"/>
      <c r="S58" s="91">
        <v>82</v>
      </c>
      <c r="T58" s="91">
        <v>80</v>
      </c>
      <c r="U58" s="91">
        <v>78</v>
      </c>
      <c r="V58" s="91">
        <v>80</v>
      </c>
      <c r="W58" s="91">
        <v>80</v>
      </c>
      <c r="X58" s="91">
        <v>86</v>
      </c>
      <c r="Y58" s="91">
        <v>86</v>
      </c>
      <c r="Z58" s="91">
        <v>85</v>
      </c>
      <c r="AA58" s="91">
        <v>85</v>
      </c>
      <c r="AB58" s="91">
        <v>85</v>
      </c>
      <c r="AC58" s="91">
        <v>85</v>
      </c>
      <c r="AD58" s="91">
        <v>89</v>
      </c>
      <c r="AE58" s="91">
        <v>84</v>
      </c>
      <c r="AF58" s="91">
        <v>81</v>
      </c>
      <c r="AG58" s="91">
        <v>81</v>
      </c>
      <c r="AH58" s="302">
        <f t="shared" ref="AH58:AH60" si="16">IFERROR(AVERAGEIF(C58:AG58,"&lt;&gt;0"),)</f>
        <v>82.347826086956516</v>
      </c>
      <c r="AJ58" s="305">
        <f>AH58</f>
        <v>82.347826086956516</v>
      </c>
      <c r="AK58" s="306" t="s">
        <v>134</v>
      </c>
    </row>
    <row r="59" spans="1:37" x14ac:dyDescent="0.25">
      <c r="A59" s="90"/>
      <c r="B59" s="301" t="s">
        <v>135</v>
      </c>
      <c r="C59" s="301"/>
      <c r="D59" s="301"/>
      <c r="E59" s="301"/>
      <c r="F59" s="301"/>
      <c r="G59" s="301"/>
      <c r="H59" s="301" t="s">
        <v>236</v>
      </c>
      <c r="I59" s="301">
        <v>76</v>
      </c>
      <c r="J59" s="301">
        <v>77</v>
      </c>
      <c r="K59" s="301">
        <v>77</v>
      </c>
      <c r="L59" s="301">
        <v>77</v>
      </c>
      <c r="M59" s="301">
        <v>78</v>
      </c>
      <c r="N59" s="301">
        <v>78</v>
      </c>
      <c r="O59" s="301">
        <v>80</v>
      </c>
      <c r="P59" s="301">
        <v>78</v>
      </c>
      <c r="Q59" s="301">
        <v>77</v>
      </c>
      <c r="R59" s="301"/>
      <c r="S59" s="301">
        <v>79</v>
      </c>
      <c r="T59" s="301">
        <v>78</v>
      </c>
      <c r="U59" s="301">
        <v>77</v>
      </c>
      <c r="V59" s="301">
        <v>77</v>
      </c>
      <c r="W59" s="301">
        <v>77</v>
      </c>
      <c r="X59" s="301">
        <v>77</v>
      </c>
      <c r="Y59" s="301">
        <v>77</v>
      </c>
      <c r="Z59" s="301">
        <v>79</v>
      </c>
      <c r="AA59" s="301">
        <v>78</v>
      </c>
      <c r="AB59" s="301">
        <v>75</v>
      </c>
      <c r="AC59" s="301">
        <v>75</v>
      </c>
      <c r="AD59" s="301">
        <v>77</v>
      </c>
      <c r="AE59" s="301">
        <v>77</v>
      </c>
      <c r="AF59" s="301">
        <v>76</v>
      </c>
      <c r="AG59" s="301">
        <v>78</v>
      </c>
      <c r="AH59" s="302">
        <f t="shared" si="16"/>
        <v>77.291666666666671</v>
      </c>
      <c r="AJ59" s="305">
        <f>AH59</f>
        <v>77.291666666666671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0"/>
      <c r="B1" s="511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45413</v>
      </c>
      <c r="B2" s="355" t="str">
        <f>TEXT(A2,"ddd")</f>
        <v>Wed</v>
      </c>
      <c r="C2" s="321">
        <f>TRANSPOSE(Pool!C4:AG4)</f>
        <v>1852.4</v>
      </c>
      <c r="D2" s="321">
        <f t="array" ref="D2:D32">TRANSPOSE(Pool!C9:AG9)</f>
        <v>0</v>
      </c>
      <c r="E2" s="321">
        <f t="array" ref="E2:E32">TRANSPOSE(Pool!C14:AG14)</f>
        <v>8</v>
      </c>
      <c r="F2" s="321">
        <f t="array" ref="F2:F32">TRANSPOSE(Pool!C15:AG15)</f>
        <v>171.46</v>
      </c>
      <c r="G2" s="321">
        <f t="array" ref="G2:G32">TRANSPOSE(Pool!C16:AG16)</f>
        <v>0</v>
      </c>
      <c r="H2" s="321">
        <f>TRANSPOSE(Pool!C18:AG18)</f>
        <v>0</v>
      </c>
      <c r="I2" s="324">
        <f t="array" ref="I2:I32">TRANSPOSE(Pool!C20:AG20)</f>
        <v>0</v>
      </c>
      <c r="J2" s="327"/>
      <c r="K2" s="328">
        <f t="array" ref="K2:K32">TRANSPOSE(Pool!C57:AG57)</f>
        <v>0</v>
      </c>
      <c r="L2" s="331">
        <f t="array" ref="L2:L32">TRANSPOSE(Pool!C58:AG58)</f>
        <v>0</v>
      </c>
      <c r="M2" s="334">
        <f t="array" ref="M2:M32">TRANSPOSE(Pool!C59:AG59)</f>
        <v>0</v>
      </c>
      <c r="N2" s="327"/>
      <c r="O2" s="338">
        <f t="array" ref="O2:O32">TRANSPOSE(Pool!C50:AG50)</f>
        <v>130</v>
      </c>
    </row>
    <row r="3" spans="1:15" x14ac:dyDescent="0.25">
      <c r="A3" s="341">
        <f t="shared" ref="A3:A32" si="0">SUM(A2+1)</f>
        <v>45414</v>
      </c>
      <c r="B3" s="356" t="str">
        <f>TEXT(A3,"ddd")</f>
        <v>Thu</v>
      </c>
      <c r="C3" s="322">
        <f>TRANSPOSE(Pool!C9:AG9)</f>
        <v>0</v>
      </c>
      <c r="D3" s="322">
        <v>0</v>
      </c>
      <c r="E3" s="322">
        <v>4</v>
      </c>
      <c r="F3" s="322">
        <v>379.77</v>
      </c>
      <c r="G3" s="322">
        <v>0</v>
      </c>
      <c r="H3" s="322">
        <f>TRANSPOSE(Pool!C19:AG19)</f>
        <v>0</v>
      </c>
      <c r="I3" s="325">
        <v>0</v>
      </c>
      <c r="J3" s="327"/>
      <c r="K3" s="329">
        <v>0</v>
      </c>
      <c r="L3" s="332">
        <v>0</v>
      </c>
      <c r="M3" s="335">
        <v>0</v>
      </c>
      <c r="N3" s="327"/>
      <c r="O3" s="339">
        <v>198</v>
      </c>
    </row>
    <row r="4" spans="1:15" x14ac:dyDescent="0.25">
      <c r="A4" s="341">
        <f t="shared" si="0"/>
        <v>45415</v>
      </c>
      <c r="B4" s="356" t="str">
        <f>TEXT(A4,"DDD")</f>
        <v>Fri</v>
      </c>
      <c r="C4" s="322">
        <f>TRANSPOSE(Pool!C5:AG5)</f>
        <v>0</v>
      </c>
      <c r="D4" s="322">
        <v>0</v>
      </c>
      <c r="E4" s="322">
        <v>349</v>
      </c>
      <c r="F4" s="322">
        <v>137.15</v>
      </c>
      <c r="G4" s="322">
        <v>0</v>
      </c>
      <c r="H4" s="322">
        <f>TRANSPOSE(Pool!C21:AG21)</f>
        <v>0</v>
      </c>
      <c r="I4" s="325">
        <v>0</v>
      </c>
      <c r="J4" s="327"/>
      <c r="K4" s="329">
        <v>0</v>
      </c>
      <c r="L4" s="332">
        <v>0</v>
      </c>
      <c r="M4" s="335">
        <v>0</v>
      </c>
      <c r="N4" s="327"/>
      <c r="O4" s="339">
        <v>199</v>
      </c>
    </row>
    <row r="5" spans="1:15" x14ac:dyDescent="0.25">
      <c r="A5" s="341">
        <f t="shared" si="0"/>
        <v>45416</v>
      </c>
      <c r="B5" s="356" t="str">
        <f>TEXT(A5,"ddd")</f>
        <v>Sat</v>
      </c>
      <c r="C5" s="322">
        <f>TRANSPOSE(Pool!C6:AG6)</f>
        <v>0</v>
      </c>
      <c r="D5" s="322">
        <v>0</v>
      </c>
      <c r="E5" s="322">
        <v>12</v>
      </c>
      <c r="F5" s="322">
        <v>353.13</v>
      </c>
      <c r="G5" s="322">
        <v>0</v>
      </c>
      <c r="H5" s="322">
        <f>TRANSPOSE(Pool!C20:AG20)</f>
        <v>0</v>
      </c>
      <c r="I5" s="325">
        <v>0</v>
      </c>
      <c r="J5" s="327"/>
      <c r="K5" s="329">
        <v>0</v>
      </c>
      <c r="L5" s="332">
        <v>0</v>
      </c>
      <c r="M5" s="335">
        <v>0</v>
      </c>
      <c r="N5" s="327"/>
      <c r="O5" s="339">
        <v>415</v>
      </c>
    </row>
    <row r="6" spans="1:15" x14ac:dyDescent="0.25">
      <c r="A6" s="341">
        <f t="shared" si="0"/>
        <v>45417</v>
      </c>
      <c r="B6" s="356" t="str">
        <f>TEXT(A6,"DDD")</f>
        <v>Sun</v>
      </c>
      <c r="C6" s="322">
        <f>TRANSPOSE(Pool!C7:AG7)</f>
        <v>180</v>
      </c>
      <c r="D6" s="322">
        <v>0</v>
      </c>
      <c r="E6" s="322">
        <v>0</v>
      </c>
      <c r="F6" s="322">
        <v>23.56</v>
      </c>
      <c r="G6" s="322">
        <v>0</v>
      </c>
      <c r="H6" s="322">
        <f>TRANSPOSE(Pool!C22:AG22)</f>
        <v>0</v>
      </c>
      <c r="I6" s="325">
        <v>0</v>
      </c>
      <c r="J6" s="327"/>
      <c r="K6" s="329">
        <v>0</v>
      </c>
      <c r="L6" s="332">
        <v>0</v>
      </c>
      <c r="M6" s="335">
        <v>0</v>
      </c>
      <c r="N6" s="327"/>
      <c r="O6" s="339">
        <v>20</v>
      </c>
    </row>
    <row r="7" spans="1:15" x14ac:dyDescent="0.25">
      <c r="A7" s="341">
        <f t="shared" si="0"/>
        <v>45418</v>
      </c>
      <c r="B7" s="356" t="str">
        <f>TEXT(A7,"ddd")</f>
        <v>Mon</v>
      </c>
      <c r="C7" s="322">
        <f>TRANSPOSE(Pool!C8:AG8)</f>
        <v>0</v>
      </c>
      <c r="D7" s="322">
        <v>0</v>
      </c>
      <c r="E7" s="322">
        <v>12</v>
      </c>
      <c r="F7" s="322">
        <v>204.5</v>
      </c>
      <c r="G7" s="322">
        <v>0</v>
      </c>
      <c r="H7" s="322">
        <f>TRANSPOSE(Pool!C23:AG23)</f>
        <v>0</v>
      </c>
      <c r="I7" s="325">
        <v>0</v>
      </c>
      <c r="J7" s="327"/>
      <c r="K7" s="329">
        <v>93</v>
      </c>
      <c r="L7" s="332">
        <v>70</v>
      </c>
      <c r="M7" s="335" t="str">
        <v>closed</v>
      </c>
      <c r="N7" s="327"/>
      <c r="O7" s="339">
        <v>142</v>
      </c>
    </row>
    <row r="8" spans="1:15" x14ac:dyDescent="0.25">
      <c r="A8" s="341">
        <f t="shared" si="0"/>
        <v>45419</v>
      </c>
      <c r="B8" s="356" t="str">
        <f>TEXT(A8,"DDD")</f>
        <v>Tue</v>
      </c>
      <c r="C8" s="322">
        <f>TRANSPOSE(Pool!C10:AG10)</f>
        <v>0</v>
      </c>
      <c r="D8" s="322">
        <v>0</v>
      </c>
      <c r="E8" s="322">
        <v>99</v>
      </c>
      <c r="F8" s="322">
        <v>95.17</v>
      </c>
      <c r="G8" s="322">
        <v>0</v>
      </c>
      <c r="H8" s="322">
        <f>TRANSPOSE(Pool!C24:AG24)</f>
        <v>0</v>
      </c>
      <c r="I8" s="325">
        <v>0</v>
      </c>
      <c r="J8" s="327"/>
      <c r="K8" s="329">
        <v>98</v>
      </c>
      <c r="L8" s="332" t="str">
        <v>closed</v>
      </c>
      <c r="M8" s="335">
        <v>76</v>
      </c>
      <c r="N8" s="327"/>
      <c r="O8" s="339">
        <v>116</v>
      </c>
    </row>
    <row r="9" spans="1:15" x14ac:dyDescent="0.25">
      <c r="A9" s="341">
        <f t="shared" si="0"/>
        <v>45420</v>
      </c>
      <c r="B9" s="356" t="str">
        <f>TEXT(A9,"ddd")</f>
        <v>Wed</v>
      </c>
      <c r="C9" s="322">
        <f>TRANSPOSE(Pool!C11:AG11)</f>
        <v>0</v>
      </c>
      <c r="D9" s="322">
        <v>0</v>
      </c>
      <c r="E9" s="322">
        <v>16</v>
      </c>
      <c r="F9" s="322">
        <v>124.46</v>
      </c>
      <c r="G9" s="322">
        <v>0</v>
      </c>
      <c r="H9" s="322">
        <f>TRANSPOSE(Pool!C25:AG25)</f>
        <v>0</v>
      </c>
      <c r="I9" s="325">
        <v>0</v>
      </c>
      <c r="J9" s="327"/>
      <c r="K9" s="329">
        <v>98</v>
      </c>
      <c r="L9" s="332" t="str">
        <v>closed</v>
      </c>
      <c r="M9" s="336">
        <v>77</v>
      </c>
      <c r="N9" s="327"/>
      <c r="O9" s="339">
        <v>138</v>
      </c>
    </row>
    <row r="10" spans="1:15" x14ac:dyDescent="0.25">
      <c r="A10" s="341">
        <f t="shared" si="0"/>
        <v>45421</v>
      </c>
      <c r="B10" s="356" t="str">
        <f>TEXT(A10,"DDD")</f>
        <v>Thu</v>
      </c>
      <c r="C10" s="322">
        <f>TRANSPOSE(Pool!C12:AG12)</f>
        <v>0</v>
      </c>
      <c r="D10" s="322">
        <v>0</v>
      </c>
      <c r="E10" s="322">
        <v>0</v>
      </c>
      <c r="F10" s="322">
        <v>114.28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99</v>
      </c>
      <c r="L10" s="332">
        <v>80</v>
      </c>
      <c r="M10" s="335">
        <v>77</v>
      </c>
      <c r="N10" s="327"/>
      <c r="O10" s="339">
        <v>123</v>
      </c>
    </row>
    <row r="11" spans="1:15" x14ac:dyDescent="0.25">
      <c r="A11" s="341">
        <f t="shared" si="0"/>
        <v>45422</v>
      </c>
      <c r="B11" s="356" t="str">
        <f>TEXT(A11,"ddd")</f>
        <v>Fri</v>
      </c>
      <c r="C11" s="322">
        <f>TRANSPOSE(Pool!C13:AG13)</f>
        <v>0</v>
      </c>
      <c r="D11" s="322">
        <v>0</v>
      </c>
      <c r="E11" s="322">
        <v>4</v>
      </c>
      <c r="F11" s="322">
        <v>185.47</v>
      </c>
      <c r="G11" s="322">
        <v>0</v>
      </c>
      <c r="H11" s="322">
        <f>TRANSPOSE(Pool!C27:AG27)</f>
        <v>0</v>
      </c>
      <c r="I11" s="325">
        <v>90</v>
      </c>
      <c r="J11" s="327"/>
      <c r="K11" s="329">
        <v>100</v>
      </c>
      <c r="L11" s="332">
        <v>83</v>
      </c>
      <c r="M11" s="335">
        <v>77</v>
      </c>
      <c r="N11" s="327"/>
      <c r="O11" s="339">
        <v>255</v>
      </c>
    </row>
    <row r="12" spans="1:15" x14ac:dyDescent="0.25">
      <c r="A12" s="341">
        <f t="shared" si="0"/>
        <v>45423</v>
      </c>
      <c r="B12" s="356" t="str">
        <f>TEXT(A12,"DDD")</f>
        <v>Sat</v>
      </c>
      <c r="C12" s="322">
        <f>TRANSPOSE(Pool!C14:AG14)</f>
        <v>8</v>
      </c>
      <c r="D12" s="322">
        <v>0</v>
      </c>
      <c r="E12" s="322">
        <v>61</v>
      </c>
      <c r="F12" s="322">
        <v>554.54999999999995</v>
      </c>
      <c r="G12" s="322">
        <v>0</v>
      </c>
      <c r="H12" s="322">
        <f>TRANSPOSE(Pool!C28:AG28)</f>
        <v>0</v>
      </c>
      <c r="I12" s="325">
        <v>180</v>
      </c>
      <c r="J12" s="327"/>
      <c r="K12" s="329">
        <v>102</v>
      </c>
      <c r="L12" s="332">
        <v>85</v>
      </c>
      <c r="M12" s="335">
        <v>78</v>
      </c>
      <c r="N12" s="327"/>
      <c r="O12" s="339">
        <v>405</v>
      </c>
    </row>
    <row r="13" spans="1:15" x14ac:dyDescent="0.25">
      <c r="A13" s="341">
        <f t="shared" si="0"/>
        <v>45424</v>
      </c>
      <c r="B13" s="356" t="str">
        <f>TEXT(A13,"ddd")</f>
        <v>Sun</v>
      </c>
      <c r="C13" s="322">
        <f>TRANSPOSE(Pool!C15:AG15)</f>
        <v>171.46</v>
      </c>
      <c r="D13" s="322">
        <v>0</v>
      </c>
      <c r="E13" s="322">
        <v>4</v>
      </c>
      <c r="F13" s="322">
        <v>604.87</v>
      </c>
      <c r="G13" s="322">
        <v>0</v>
      </c>
      <c r="H13" s="322">
        <f>TRANSPOSE(Pool!C29:AG29)</f>
        <v>1600.75</v>
      </c>
      <c r="I13" s="325">
        <v>90</v>
      </c>
      <c r="J13" s="327"/>
      <c r="K13" s="329">
        <v>102</v>
      </c>
      <c r="L13" s="332">
        <v>83</v>
      </c>
      <c r="M13" s="335">
        <v>78</v>
      </c>
      <c r="N13" s="327"/>
      <c r="O13" s="339">
        <v>441</v>
      </c>
    </row>
    <row r="14" spans="1:15" x14ac:dyDescent="0.25">
      <c r="A14" s="341">
        <f t="shared" si="0"/>
        <v>45425</v>
      </c>
      <c r="B14" s="356" t="str">
        <f>TEXT(A14,"DDD")</f>
        <v>Mon</v>
      </c>
      <c r="C14" s="322">
        <f>TRANSPOSE(Pool!C16:AG16)</f>
        <v>0</v>
      </c>
      <c r="D14" s="322">
        <v>0</v>
      </c>
      <c r="E14" s="322">
        <v>4</v>
      </c>
      <c r="F14" s="322">
        <v>202.34</v>
      </c>
      <c r="G14" s="322">
        <v>0</v>
      </c>
      <c r="H14" s="322">
        <f>TRANSPOSE(Pool!C30:AG30)</f>
        <v>1600.75</v>
      </c>
      <c r="I14" s="325">
        <v>135</v>
      </c>
      <c r="J14" s="327"/>
      <c r="K14" s="329">
        <v>102</v>
      </c>
      <c r="L14" s="332">
        <v>83</v>
      </c>
      <c r="M14" s="335">
        <v>80</v>
      </c>
      <c r="N14" s="327"/>
      <c r="O14" s="339">
        <v>190</v>
      </c>
    </row>
    <row r="15" spans="1:15" x14ac:dyDescent="0.25">
      <c r="A15" s="341">
        <f t="shared" si="0"/>
        <v>45426</v>
      </c>
      <c r="B15" s="356" t="str">
        <f>TEXT(A15,"ddd")</f>
        <v>Tue</v>
      </c>
      <c r="C15" s="322">
        <f>TRANSPOSE(Pool!C18:AG18)</f>
        <v>0</v>
      </c>
      <c r="D15" s="322">
        <v>0</v>
      </c>
      <c r="E15" s="322">
        <v>16</v>
      </c>
      <c r="F15" s="322">
        <v>118.9</v>
      </c>
      <c r="G15" s="322">
        <v>0</v>
      </c>
      <c r="H15" s="322">
        <f>TRANSPOSE(Pool!C31:AG31)</f>
        <v>0</v>
      </c>
      <c r="I15" s="325">
        <v>135</v>
      </c>
      <c r="J15" s="327"/>
      <c r="K15" s="329">
        <v>99</v>
      </c>
      <c r="L15" s="332">
        <v>81</v>
      </c>
      <c r="M15" s="335">
        <v>78</v>
      </c>
      <c r="N15" s="327"/>
      <c r="O15" s="339">
        <v>225</v>
      </c>
    </row>
    <row r="16" spans="1:15" x14ac:dyDescent="0.25">
      <c r="A16" s="341">
        <f t="shared" si="0"/>
        <v>45427</v>
      </c>
      <c r="B16" s="356" t="str">
        <f>TEXT(A16,"DDD")</f>
        <v>Wed</v>
      </c>
      <c r="C16" s="322">
        <f>TRANSPOSE(Pool!C19:AG19)</f>
        <v>0</v>
      </c>
      <c r="D16" s="322">
        <v>0</v>
      </c>
      <c r="E16" s="322">
        <v>0</v>
      </c>
      <c r="F16" s="322">
        <v>227.8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102</v>
      </c>
      <c r="L16" s="332">
        <v>82</v>
      </c>
      <c r="M16" s="335">
        <v>77</v>
      </c>
      <c r="N16" s="327"/>
      <c r="O16" s="339">
        <v>212</v>
      </c>
    </row>
    <row r="17" spans="1:15" x14ac:dyDescent="0.25">
      <c r="A17" s="341">
        <f t="shared" si="0"/>
        <v>45428</v>
      </c>
      <c r="B17" s="356" t="str">
        <f>TEXT(A17,"ddd")</f>
        <v>Thu</v>
      </c>
      <c r="C17" s="322">
        <f>TRANSPOSE(Pool!C21:AG21)</f>
        <v>0</v>
      </c>
      <c r="D17" s="322">
        <v>0</v>
      </c>
      <c r="E17" s="322">
        <v>0</v>
      </c>
      <c r="F17" s="322">
        <v>223.75</v>
      </c>
      <c r="G17" s="322">
        <v>0</v>
      </c>
      <c r="H17" s="322">
        <f>TRANSPOSE(Pool!C33:AG33)</f>
        <v>221</v>
      </c>
      <c r="I17" s="325">
        <v>90</v>
      </c>
      <c r="J17" s="327"/>
      <c r="K17" s="329">
        <v>0</v>
      </c>
      <c r="L17" s="332">
        <v>0</v>
      </c>
      <c r="M17" s="335">
        <v>0</v>
      </c>
      <c r="N17" s="327"/>
      <c r="O17" s="339">
        <v>253</v>
      </c>
    </row>
    <row r="18" spans="1:15" x14ac:dyDescent="0.25">
      <c r="A18" s="341">
        <f t="shared" si="0"/>
        <v>45429</v>
      </c>
      <c r="B18" s="356" t="str">
        <f>TEXT(A18,"DDD")</f>
        <v>Fri</v>
      </c>
      <c r="C18" s="322">
        <f>TRANSPOSE(Pool!C20:AG20)</f>
        <v>0</v>
      </c>
      <c r="D18" s="322">
        <v>0</v>
      </c>
      <c r="E18" s="322">
        <v>20</v>
      </c>
      <c r="F18" s="322">
        <v>197.5</v>
      </c>
      <c r="G18" s="322">
        <v>0</v>
      </c>
      <c r="H18" s="322">
        <f>TRANSPOSE(Pool!C34:AG34)</f>
        <v>1379.75</v>
      </c>
      <c r="I18" s="325">
        <v>90</v>
      </c>
      <c r="J18" s="327"/>
      <c r="K18" s="329">
        <v>99</v>
      </c>
      <c r="L18" s="332">
        <v>82</v>
      </c>
      <c r="M18" s="335">
        <v>79</v>
      </c>
      <c r="N18" s="327"/>
      <c r="O18" s="339">
        <v>337</v>
      </c>
    </row>
    <row r="19" spans="1:15" x14ac:dyDescent="0.25">
      <c r="A19" s="341">
        <f t="shared" si="0"/>
        <v>45430</v>
      </c>
      <c r="B19" s="356" t="str">
        <f>TEXT(A19,"ddd")</f>
        <v>Sat</v>
      </c>
      <c r="C19" s="322">
        <f>TRANSPOSE(Pool!C22:AG22)</f>
        <v>0</v>
      </c>
      <c r="D19" s="322">
        <v>0</v>
      </c>
      <c r="E19" s="322">
        <v>4</v>
      </c>
      <c r="F19" s="322">
        <v>440.39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102</v>
      </c>
      <c r="L19" s="332">
        <v>80</v>
      </c>
      <c r="M19" s="335">
        <v>78</v>
      </c>
      <c r="N19" s="327"/>
      <c r="O19" s="339">
        <v>483</v>
      </c>
    </row>
    <row r="20" spans="1:15" x14ac:dyDescent="0.25">
      <c r="A20" s="341">
        <f t="shared" si="0"/>
        <v>45431</v>
      </c>
      <c r="B20" s="356" t="str">
        <f>TEXT(A20,"DDD")</f>
        <v>Sun</v>
      </c>
      <c r="C20" s="322">
        <f>TRANSPOSE(Pool!C23:AG23)</f>
        <v>0</v>
      </c>
      <c r="D20" s="322">
        <v>0</v>
      </c>
      <c r="E20" s="322">
        <v>24</v>
      </c>
      <c r="F20" s="322">
        <v>488.83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100</v>
      </c>
      <c r="L20" s="332">
        <v>78</v>
      </c>
      <c r="M20" s="335">
        <v>77</v>
      </c>
      <c r="N20" s="327"/>
      <c r="O20" s="339">
        <v>462</v>
      </c>
    </row>
    <row r="21" spans="1:15" x14ac:dyDescent="0.25">
      <c r="A21" s="341">
        <f t="shared" si="0"/>
        <v>45432</v>
      </c>
      <c r="B21" s="356" t="str">
        <f>TEXT(A21,"ddd")</f>
        <v>Mon</v>
      </c>
      <c r="C21" s="322">
        <f>TRANSPOSE(Pool!C24:AG24)</f>
        <v>0</v>
      </c>
      <c r="D21" s="322">
        <v>0</v>
      </c>
      <c r="E21" s="322">
        <v>8</v>
      </c>
      <c r="F21" s="322">
        <v>289.94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100</v>
      </c>
      <c r="L21" s="332">
        <v>80</v>
      </c>
      <c r="M21" s="335">
        <v>77</v>
      </c>
      <c r="N21" s="327"/>
      <c r="O21" s="339">
        <v>221</v>
      </c>
    </row>
    <row r="22" spans="1:15" x14ac:dyDescent="0.25">
      <c r="A22" s="341">
        <f t="shared" si="0"/>
        <v>45433</v>
      </c>
      <c r="B22" s="356" t="str">
        <f>TEXT(A22,"DDD")</f>
        <v>Tue</v>
      </c>
      <c r="C22" s="322">
        <f>TRANSPOSE(Pool!C25:AG25)</f>
        <v>0</v>
      </c>
      <c r="D22" s="322">
        <v>0</v>
      </c>
      <c r="E22" s="322">
        <v>263</v>
      </c>
      <c r="F22" s="322">
        <v>334.9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102</v>
      </c>
      <c r="L22" s="332">
        <v>80</v>
      </c>
      <c r="M22" s="335">
        <v>77</v>
      </c>
      <c r="N22" s="327"/>
      <c r="O22" s="339">
        <v>341</v>
      </c>
    </row>
    <row r="23" spans="1:15" x14ac:dyDescent="0.25">
      <c r="A23" s="341">
        <f t="shared" si="0"/>
        <v>45434</v>
      </c>
      <c r="B23" s="356" t="str">
        <f>TEXT(A23,"ddd")</f>
        <v>Wed</v>
      </c>
      <c r="C23" s="322">
        <f>TRANSPOSE(Pool!C26:AG26)</f>
        <v>0</v>
      </c>
      <c r="D23" s="322">
        <v>0</v>
      </c>
      <c r="E23" s="322">
        <v>12</v>
      </c>
      <c r="F23" s="322">
        <v>362.47</v>
      </c>
      <c r="G23" s="322">
        <v>0</v>
      </c>
      <c r="H23" s="322">
        <f>TRANSPOSE(Pool!C39:AG39)</f>
        <v>1600.75</v>
      </c>
      <c r="I23" s="325">
        <v>0</v>
      </c>
      <c r="J23" s="327"/>
      <c r="K23" s="329">
        <v>99</v>
      </c>
      <c r="L23" s="332">
        <v>86</v>
      </c>
      <c r="M23" s="335">
        <v>77</v>
      </c>
      <c r="N23" s="327"/>
      <c r="O23" s="339">
        <v>290</v>
      </c>
    </row>
    <row r="24" spans="1:15" x14ac:dyDescent="0.25">
      <c r="A24" s="341">
        <f t="shared" si="0"/>
        <v>45435</v>
      </c>
      <c r="B24" s="356" t="str">
        <f>TEXT(A24,"DDD")</f>
        <v>Thu</v>
      </c>
      <c r="C24" s="322">
        <f>TRANSPOSE(Pool!C27:AG27)</f>
        <v>0</v>
      </c>
      <c r="D24" s="322">
        <v>0</v>
      </c>
      <c r="E24" s="322">
        <v>8</v>
      </c>
      <c r="F24" s="322">
        <v>340.61</v>
      </c>
      <c r="G24" s="322">
        <v>0</v>
      </c>
      <c r="H24" s="322">
        <f>TRANSPOSE(Pool!C40:AG40)</f>
        <v>1600.75</v>
      </c>
      <c r="I24" s="325">
        <v>45</v>
      </c>
      <c r="J24" s="327"/>
      <c r="K24" s="329">
        <v>99</v>
      </c>
      <c r="L24" s="332">
        <v>86</v>
      </c>
      <c r="M24" s="335">
        <v>77</v>
      </c>
      <c r="N24" s="327"/>
      <c r="O24" s="339">
        <v>357</v>
      </c>
    </row>
    <row r="25" spans="1:15" x14ac:dyDescent="0.25">
      <c r="A25" s="341">
        <f t="shared" si="0"/>
        <v>45436</v>
      </c>
      <c r="B25" s="356" t="str">
        <f>TEXT(A25,"ddd")</f>
        <v>Fri</v>
      </c>
      <c r="C25" s="322">
        <f>TRANSPOSE(Pool!C28:AG28)</f>
        <v>0</v>
      </c>
      <c r="D25" s="322">
        <v>0</v>
      </c>
      <c r="E25" s="322">
        <v>12</v>
      </c>
      <c r="F25" s="322">
        <v>286.61</v>
      </c>
      <c r="G25" s="322">
        <v>0</v>
      </c>
      <c r="H25" s="322">
        <f>TRANSPOSE(Pool!C41:AG41)</f>
        <v>0</v>
      </c>
      <c r="I25" s="325">
        <v>0</v>
      </c>
      <c r="J25" s="327"/>
      <c r="K25" s="329">
        <v>99</v>
      </c>
      <c r="L25" s="332">
        <v>85</v>
      </c>
      <c r="M25" s="335">
        <v>79</v>
      </c>
      <c r="N25" s="327"/>
      <c r="O25" s="339">
        <v>394</v>
      </c>
    </row>
    <row r="26" spans="1:15" x14ac:dyDescent="0.25">
      <c r="A26" s="341">
        <f t="shared" si="0"/>
        <v>45437</v>
      </c>
      <c r="B26" s="356" t="str">
        <f>TEXT(A26,"DDD")</f>
        <v>Sat</v>
      </c>
      <c r="C26" s="322">
        <f>TRANSPOSE(Pool!C29:AG29)</f>
        <v>2227.9</v>
      </c>
      <c r="D26" s="322">
        <v>428</v>
      </c>
      <c r="E26" s="322">
        <v>36</v>
      </c>
      <c r="F26" s="322">
        <v>925.12</v>
      </c>
      <c r="G26" s="322">
        <v>0</v>
      </c>
      <c r="H26" s="322">
        <f>TRANSPOSE(Pool!C42:AG42)</f>
        <v>0</v>
      </c>
      <c r="I26" s="325">
        <v>90</v>
      </c>
      <c r="J26" s="327"/>
      <c r="K26" s="329">
        <v>102</v>
      </c>
      <c r="L26" s="332">
        <v>85</v>
      </c>
      <c r="M26" s="335">
        <v>78</v>
      </c>
      <c r="N26" s="327"/>
      <c r="O26" s="339">
        <v>834</v>
      </c>
    </row>
    <row r="27" spans="1:15" x14ac:dyDescent="0.25">
      <c r="A27" s="341">
        <f t="shared" si="0"/>
        <v>45438</v>
      </c>
      <c r="B27" s="356" t="str">
        <f>TEXT(A27,"ddd")</f>
        <v>Sun</v>
      </c>
      <c r="C27" s="322">
        <f>TRANSPOSE(Pool!C30:AG30)</f>
        <v>2227.9</v>
      </c>
      <c r="D27" s="322">
        <v>715</v>
      </c>
      <c r="E27" s="322">
        <v>148</v>
      </c>
      <c r="F27" s="322">
        <v>1855.24</v>
      </c>
      <c r="G27" s="322">
        <v>0</v>
      </c>
      <c r="H27" s="322">
        <f>TRANSPOSE(Pool!C43:AG43)</f>
        <v>0</v>
      </c>
      <c r="I27" s="325">
        <v>135</v>
      </c>
      <c r="J27" s="327"/>
      <c r="K27" s="329">
        <v>102</v>
      </c>
      <c r="L27" s="332">
        <v>85</v>
      </c>
      <c r="M27" s="335">
        <v>75</v>
      </c>
      <c r="N27" s="327"/>
      <c r="O27" s="339">
        <v>1247</v>
      </c>
    </row>
    <row r="28" spans="1:15" x14ac:dyDescent="0.25">
      <c r="A28" s="341">
        <f t="shared" si="0"/>
        <v>45439</v>
      </c>
      <c r="B28" s="356" t="str">
        <f>TEXT(A28,"DDD")</f>
        <v>Mon</v>
      </c>
      <c r="C28" s="322">
        <f>TRANSPOSE(Pool!C31:AG31)</f>
        <v>0</v>
      </c>
      <c r="D28" s="322">
        <v>542</v>
      </c>
      <c r="E28" s="322">
        <v>24</v>
      </c>
      <c r="F28" s="322">
        <v>1099.72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102</v>
      </c>
      <c r="L28" s="332">
        <v>85</v>
      </c>
      <c r="M28" s="335">
        <v>75</v>
      </c>
      <c r="N28" s="327"/>
      <c r="O28" s="339">
        <v>782</v>
      </c>
    </row>
    <row r="29" spans="1:15" x14ac:dyDescent="0.25">
      <c r="A29" s="341">
        <f t="shared" si="0"/>
        <v>45440</v>
      </c>
      <c r="B29" s="356" t="str">
        <f>TEXT(A29,"ddd")</f>
        <v>Tue</v>
      </c>
      <c r="C29" s="322">
        <f>TRANSPOSE(Pool!C32:AG32)</f>
        <v>0</v>
      </c>
      <c r="D29" s="322">
        <v>356</v>
      </c>
      <c r="E29" s="322">
        <v>32</v>
      </c>
      <c r="F29" s="322">
        <v>413.85</v>
      </c>
      <c r="G29" s="322">
        <v>0</v>
      </c>
      <c r="H29" s="322">
        <f>TRANSPOSE(Pool!C45:AG45)</f>
        <v>43.06</v>
      </c>
      <c r="I29" s="325">
        <v>0</v>
      </c>
      <c r="J29" s="327"/>
      <c r="K29" s="329">
        <v>99</v>
      </c>
      <c r="L29" s="332">
        <v>89</v>
      </c>
      <c r="M29" s="335">
        <v>77</v>
      </c>
      <c r="N29" s="327"/>
      <c r="O29" s="339">
        <v>472</v>
      </c>
    </row>
    <row r="30" spans="1:15" x14ac:dyDescent="0.25">
      <c r="A30" s="341">
        <f t="shared" si="0"/>
        <v>45441</v>
      </c>
      <c r="B30" s="356" t="str">
        <f>TEXT(A30,"ddd")</f>
        <v>Wed</v>
      </c>
      <c r="C30" s="322">
        <f>TRANSPOSE(Pool!C33:AG33)</f>
        <v>341.1</v>
      </c>
      <c r="D30" s="322">
        <v>530</v>
      </c>
      <c r="E30" s="322">
        <v>44</v>
      </c>
      <c r="F30" s="322">
        <v>578.24</v>
      </c>
      <c r="G30" s="322">
        <v>0</v>
      </c>
      <c r="H30" s="322">
        <f>TRANSPOSE(Pool!C46:AG46)</f>
        <v>1336.69</v>
      </c>
      <c r="I30" s="325">
        <v>0</v>
      </c>
      <c r="J30" s="327"/>
      <c r="K30" s="329">
        <v>99</v>
      </c>
      <c r="L30" s="332">
        <v>84</v>
      </c>
      <c r="M30" s="335">
        <v>77</v>
      </c>
      <c r="N30" s="327"/>
      <c r="O30" s="339">
        <v>509</v>
      </c>
    </row>
    <row r="31" spans="1:15" x14ac:dyDescent="0.25">
      <c r="A31" s="341">
        <f t="shared" si="0"/>
        <v>45442</v>
      </c>
      <c r="B31" s="356" t="str">
        <f>TEXT(A31,"ddd")</f>
        <v>Thu</v>
      </c>
      <c r="C31" s="322">
        <f>TRANSPOSE(Pool!C34:AG34)</f>
        <v>1886.8</v>
      </c>
      <c r="D31" s="322">
        <v>340</v>
      </c>
      <c r="E31" s="322">
        <v>28</v>
      </c>
      <c r="F31" s="322">
        <v>785.95</v>
      </c>
      <c r="G31" s="322">
        <v>0</v>
      </c>
      <c r="H31" s="322">
        <f>TRANSPOSE(Pool!C47:AG47)</f>
        <v>108</v>
      </c>
      <c r="I31" s="325">
        <v>0</v>
      </c>
      <c r="J31" s="327"/>
      <c r="K31" s="329">
        <v>99</v>
      </c>
      <c r="L31" s="332">
        <v>81</v>
      </c>
      <c r="M31" s="335">
        <v>76</v>
      </c>
      <c r="N31" s="327"/>
      <c r="O31" s="339">
        <v>459</v>
      </c>
    </row>
    <row r="32" spans="1:15" ht="15.75" thickBot="1" x14ac:dyDescent="0.3">
      <c r="A32" s="342">
        <f t="shared" si="0"/>
        <v>45443</v>
      </c>
      <c r="B32" s="357" t="str">
        <f>TEXT(A32,"ddd")</f>
        <v>Fri</v>
      </c>
      <c r="C32" s="323">
        <f>TRANSPOSE(Pool!C35:AG35)</f>
        <v>0</v>
      </c>
      <c r="D32" s="323">
        <v>400</v>
      </c>
      <c r="E32" s="323">
        <v>8</v>
      </c>
      <c r="F32" s="323">
        <v>708.11</v>
      </c>
      <c r="G32" s="323">
        <v>0</v>
      </c>
      <c r="H32" s="323">
        <f>TRANSPOSE(Pool!C48:AG48)</f>
        <v>34</v>
      </c>
      <c r="I32" s="326">
        <v>0</v>
      </c>
      <c r="J32" s="327"/>
      <c r="K32" s="330">
        <v>99</v>
      </c>
      <c r="L32" s="333">
        <v>81</v>
      </c>
      <c r="M32" s="337">
        <v>78</v>
      </c>
      <c r="N32" s="327"/>
      <c r="O32" s="340">
        <v>551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8895.56</v>
      </c>
      <c r="D34" s="345">
        <f t="shared" si="1"/>
        <v>3311</v>
      </c>
      <c r="E34" s="345">
        <f t="shared" si="1"/>
        <v>1260</v>
      </c>
      <c r="F34" s="345">
        <f t="shared" si="1"/>
        <v>12828.64</v>
      </c>
      <c r="G34" s="345">
        <f t="shared" si="1"/>
        <v>0</v>
      </c>
      <c r="H34" s="345">
        <f t="shared" si="1"/>
        <v>9525.5</v>
      </c>
      <c r="I34" s="346">
        <f t="shared" si="1"/>
        <v>1080</v>
      </c>
      <c r="J34" s="60"/>
      <c r="K34" s="347">
        <f>Pool!AJ57</f>
        <v>99.88</v>
      </c>
      <c r="L34" s="348">
        <f>Pool!AJ58</f>
        <v>82.347826086956516</v>
      </c>
      <c r="M34" s="349">
        <f>Pool!AJ59</f>
        <v>77.291666666666671</v>
      </c>
      <c r="N34" s="102"/>
      <c r="O34" s="350">
        <f>SUM(O2:O33)</f>
        <v>11201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R9" activePane="bottomRight" state="frozen"/>
      <selection pane="topRight" activeCell="C1" sqref="C1"/>
      <selection pane="bottomLeft" activeCell="A3" sqref="A3"/>
      <selection pane="bottomRight" activeCell="AB46" sqref="AB46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May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45413</v>
      </c>
      <c r="D2" s="106">
        <f t="shared" ref="D2:AG2" si="0">C2+1</f>
        <v>45414</v>
      </c>
      <c r="E2" s="106">
        <f t="shared" si="0"/>
        <v>45415</v>
      </c>
      <c r="F2" s="106">
        <f t="shared" si="0"/>
        <v>45416</v>
      </c>
      <c r="G2" s="106">
        <f t="shared" si="0"/>
        <v>45417</v>
      </c>
      <c r="H2" s="106">
        <f t="shared" si="0"/>
        <v>45418</v>
      </c>
      <c r="I2" s="106">
        <f t="shared" si="0"/>
        <v>45419</v>
      </c>
      <c r="J2" s="106">
        <f t="shared" si="0"/>
        <v>45420</v>
      </c>
      <c r="K2" s="106">
        <f t="shared" si="0"/>
        <v>45421</v>
      </c>
      <c r="L2" s="106">
        <f t="shared" si="0"/>
        <v>45422</v>
      </c>
      <c r="M2" s="106">
        <f t="shared" si="0"/>
        <v>45423</v>
      </c>
      <c r="N2" s="106">
        <f t="shared" si="0"/>
        <v>45424</v>
      </c>
      <c r="O2" s="106">
        <f t="shared" si="0"/>
        <v>45425</v>
      </c>
      <c r="P2" s="106">
        <f t="shared" si="0"/>
        <v>45426</v>
      </c>
      <c r="Q2" s="106">
        <f t="shared" si="0"/>
        <v>45427</v>
      </c>
      <c r="R2" s="106">
        <f t="shared" si="0"/>
        <v>45428</v>
      </c>
      <c r="S2" s="106">
        <f t="shared" si="0"/>
        <v>45429</v>
      </c>
      <c r="T2" s="106">
        <f t="shared" si="0"/>
        <v>45430</v>
      </c>
      <c r="U2" s="106">
        <f t="shared" si="0"/>
        <v>45431</v>
      </c>
      <c r="V2" s="106">
        <f t="shared" si="0"/>
        <v>45432</v>
      </c>
      <c r="W2" s="106">
        <f t="shared" si="0"/>
        <v>45433</v>
      </c>
      <c r="X2" s="106">
        <f t="shared" si="0"/>
        <v>45434</v>
      </c>
      <c r="Y2" s="106">
        <f t="shared" si="0"/>
        <v>45435</v>
      </c>
      <c r="Z2" s="106">
        <f t="shared" si="0"/>
        <v>45436</v>
      </c>
      <c r="AA2" s="106">
        <f t="shared" si="0"/>
        <v>45437</v>
      </c>
      <c r="AB2" s="106">
        <f t="shared" si="0"/>
        <v>45438</v>
      </c>
      <c r="AC2" s="106">
        <f t="shared" si="0"/>
        <v>45439</v>
      </c>
      <c r="AD2" s="106">
        <f t="shared" si="0"/>
        <v>45440</v>
      </c>
      <c r="AE2" s="106">
        <f t="shared" si="0"/>
        <v>45441</v>
      </c>
      <c r="AF2" s="106">
        <f t="shared" si="0"/>
        <v>45442</v>
      </c>
      <c r="AG2" s="106">
        <f t="shared" si="0"/>
        <v>45443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>
        <v>10.62</v>
      </c>
      <c r="F3" s="113">
        <v>8.9</v>
      </c>
      <c r="G3" s="113">
        <v>19.3</v>
      </c>
      <c r="H3" s="113">
        <v>4.45</v>
      </c>
      <c r="I3" s="113">
        <v>11.24</v>
      </c>
      <c r="J3" s="113">
        <v>3.82</v>
      </c>
      <c r="K3" s="113">
        <v>3.44</v>
      </c>
      <c r="L3" s="113">
        <v>5.3</v>
      </c>
      <c r="M3" s="113">
        <v>3.06</v>
      </c>
      <c r="N3" s="113">
        <v>7.83</v>
      </c>
      <c r="O3" s="113">
        <v>12.86</v>
      </c>
      <c r="P3" s="113">
        <v>12.71</v>
      </c>
      <c r="Q3" s="113">
        <v>13.3</v>
      </c>
      <c r="R3" s="113">
        <v>11.49</v>
      </c>
      <c r="S3" s="113">
        <v>13.78</v>
      </c>
      <c r="T3" s="113">
        <v>31.42</v>
      </c>
      <c r="U3" s="113">
        <v>18.71</v>
      </c>
      <c r="V3" s="113">
        <v>23.06</v>
      </c>
      <c r="W3" s="113">
        <v>5.3</v>
      </c>
      <c r="X3" s="113">
        <v>13.9</v>
      </c>
      <c r="Y3" s="113">
        <v>8.3000000000000007</v>
      </c>
      <c r="Z3" s="113">
        <v>20.02</v>
      </c>
      <c r="AA3" s="113">
        <v>26.97</v>
      </c>
      <c r="AB3" s="113">
        <v>28.7</v>
      </c>
      <c r="AC3" s="113">
        <v>14.02</v>
      </c>
      <c r="AD3" s="113">
        <v>9.64</v>
      </c>
      <c r="AE3" s="113">
        <v>7.54</v>
      </c>
      <c r="AF3" s="113">
        <v>10.44</v>
      </c>
      <c r="AG3" s="113">
        <v>19.43</v>
      </c>
      <c r="AH3" s="108">
        <f t="shared" ref="AH3:AH15" si="1">SUM(C3:AG3)</f>
        <v>379.54999999999995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>
        <v>730</v>
      </c>
      <c r="F4" s="124">
        <v>1117</v>
      </c>
      <c r="G4" s="124">
        <v>1194</v>
      </c>
      <c r="H4" s="124">
        <v>423</v>
      </c>
      <c r="I4" s="124">
        <v>728</v>
      </c>
      <c r="J4" s="124">
        <v>449</v>
      </c>
      <c r="K4" s="124">
        <v>399</v>
      </c>
      <c r="L4" s="124">
        <v>628</v>
      </c>
      <c r="M4" s="124">
        <v>991</v>
      </c>
      <c r="N4" s="124">
        <f>1382+63</f>
        <v>1445</v>
      </c>
      <c r="O4" s="124">
        <v>1060</v>
      </c>
      <c r="P4" s="124">
        <v>1031</v>
      </c>
      <c r="Q4" s="124">
        <v>926</v>
      </c>
      <c r="R4" s="124">
        <v>1381</v>
      </c>
      <c r="S4" s="124">
        <v>1507</v>
      </c>
      <c r="T4" s="124">
        <v>2691</v>
      </c>
      <c r="U4" s="124">
        <v>2201</v>
      </c>
      <c r="V4" s="124">
        <v>1489</v>
      </c>
      <c r="W4" s="124">
        <v>1200</v>
      </c>
      <c r="X4" s="124">
        <v>1495</v>
      </c>
      <c r="Y4" s="124">
        <v>1369.5</v>
      </c>
      <c r="Z4" s="124">
        <v>1984</v>
      </c>
      <c r="AA4" s="124">
        <v>2304</v>
      </c>
      <c r="AB4" s="124">
        <v>3144</v>
      </c>
      <c r="AC4" s="124">
        <v>2504</v>
      </c>
      <c r="AD4" s="124">
        <v>1391</v>
      </c>
      <c r="AE4" s="124">
        <v>1702</v>
      </c>
      <c r="AF4" s="124">
        <v>1475</v>
      </c>
      <c r="AG4" s="124">
        <v>1938</v>
      </c>
      <c r="AH4" s="108">
        <f t="shared" si="1"/>
        <v>40896.5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>
        <v>644.59</v>
      </c>
      <c r="T5" s="125"/>
      <c r="U5" s="125"/>
      <c r="V5" s="125"/>
      <c r="W5" s="125"/>
      <c r="X5" s="125"/>
      <c r="Y5" s="125"/>
      <c r="Z5" s="125">
        <v>8</v>
      </c>
      <c r="AA5" s="125"/>
      <c r="AB5" s="125"/>
      <c r="AC5" s="125"/>
      <c r="AD5" s="125"/>
      <c r="AE5" s="125"/>
      <c r="AF5" s="125">
        <v>37.49</v>
      </c>
      <c r="AG5" s="125"/>
      <c r="AH5" s="108">
        <f t="shared" si="1"/>
        <v>690.08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>
        <v>112.33</v>
      </c>
      <c r="F6" s="125">
        <v>94.21</v>
      </c>
      <c r="G6" s="125">
        <v>202.23</v>
      </c>
      <c r="H6" s="125">
        <v>46.25</v>
      </c>
      <c r="I6" s="125">
        <v>118.81</v>
      </c>
      <c r="J6" s="125">
        <v>40.43</v>
      </c>
      <c r="K6" s="125">
        <v>36.01</v>
      </c>
      <c r="L6" s="125">
        <v>55.97</v>
      </c>
      <c r="M6" s="125">
        <v>32.5</v>
      </c>
      <c r="N6" s="125">
        <v>79.48</v>
      </c>
      <c r="O6" s="125">
        <v>131.66999999999999</v>
      </c>
      <c r="P6" s="125">
        <v>133.86000000000001</v>
      </c>
      <c r="Q6" s="125">
        <v>140.58000000000001</v>
      </c>
      <c r="R6" s="125">
        <v>121.69</v>
      </c>
      <c r="S6" s="125">
        <v>145.65</v>
      </c>
      <c r="T6" s="125">
        <v>331.58</v>
      </c>
      <c r="U6" s="125">
        <v>194.49</v>
      </c>
      <c r="V6" s="125">
        <v>242.4</v>
      </c>
      <c r="W6" s="125">
        <v>55.81</v>
      </c>
      <c r="X6" s="125">
        <v>146.87</v>
      </c>
      <c r="Y6" s="125">
        <v>85.61</v>
      </c>
      <c r="Z6" s="125">
        <v>211.63</v>
      </c>
      <c r="AA6" s="125">
        <v>285.11</v>
      </c>
      <c r="AB6" s="125">
        <v>303.67</v>
      </c>
      <c r="AC6" s="125">
        <v>146.58000000000001</v>
      </c>
      <c r="AD6" s="125">
        <v>101.14</v>
      </c>
      <c r="AE6" s="125">
        <v>79.91</v>
      </c>
      <c r="AF6" s="125">
        <v>110.28</v>
      </c>
      <c r="AG6" s="125">
        <v>205.47</v>
      </c>
      <c r="AH6" s="108">
        <f t="shared" si="1"/>
        <v>3992.22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>
        <v>0.53</v>
      </c>
      <c r="M7" s="125"/>
      <c r="N7" s="125">
        <v>0.53</v>
      </c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>
        <v>3.18</v>
      </c>
      <c r="AB7" s="125"/>
      <c r="AC7" s="125"/>
      <c r="AD7" s="125"/>
      <c r="AE7" s="125"/>
      <c r="AF7" s="125"/>
      <c r="AG7" s="125"/>
      <c r="AH7" s="108">
        <f t="shared" si="1"/>
        <v>4.24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852.95</v>
      </c>
      <c r="F8" s="433">
        <f t="shared" si="2"/>
        <v>1220.1100000000001</v>
      </c>
      <c r="G8" s="433">
        <f t="shared" si="2"/>
        <v>1415.53</v>
      </c>
      <c r="H8" s="433">
        <f t="shared" si="2"/>
        <v>473.7</v>
      </c>
      <c r="I8" s="433">
        <f t="shared" si="2"/>
        <v>858.05</v>
      </c>
      <c r="J8" s="433">
        <f t="shared" si="2"/>
        <v>493.25</v>
      </c>
      <c r="K8" s="433">
        <f t="shared" si="2"/>
        <v>438.45</v>
      </c>
      <c r="L8" s="433">
        <f t="shared" si="2"/>
        <v>689.8</v>
      </c>
      <c r="M8" s="433">
        <f t="shared" si="2"/>
        <v>1026.56</v>
      </c>
      <c r="N8" s="433">
        <f t="shared" si="2"/>
        <v>1532.84</v>
      </c>
      <c r="O8" s="433">
        <f t="shared" si="2"/>
        <v>1204.53</v>
      </c>
      <c r="P8" s="433">
        <f t="shared" si="2"/>
        <v>1177.5700000000002</v>
      </c>
      <c r="Q8" s="433">
        <f t="shared" si="2"/>
        <v>1079.8799999999999</v>
      </c>
      <c r="R8" s="433">
        <f t="shared" si="2"/>
        <v>1514.18</v>
      </c>
      <c r="S8" s="433">
        <f t="shared" si="2"/>
        <v>2311.02</v>
      </c>
      <c r="T8" s="433">
        <f t="shared" si="2"/>
        <v>3054</v>
      </c>
      <c r="U8" s="433">
        <f t="shared" si="2"/>
        <v>2414.1999999999998</v>
      </c>
      <c r="V8" s="433">
        <f t="shared" si="2"/>
        <v>1754.46</v>
      </c>
      <c r="W8" s="433">
        <f t="shared" si="2"/>
        <v>1261.1099999999999</v>
      </c>
      <c r="X8" s="433">
        <f t="shared" si="2"/>
        <v>1655.77</v>
      </c>
      <c r="Y8" s="433">
        <f t="shared" si="2"/>
        <v>1463.4099999999999</v>
      </c>
      <c r="Z8" s="433">
        <f t="shared" si="2"/>
        <v>2223.65</v>
      </c>
      <c r="AA8" s="433">
        <f t="shared" si="2"/>
        <v>2619.2599999999998</v>
      </c>
      <c r="AB8" s="433">
        <f t="shared" si="2"/>
        <v>3476.37</v>
      </c>
      <c r="AC8" s="433">
        <f t="shared" si="2"/>
        <v>2664.6</v>
      </c>
      <c r="AD8" s="433">
        <f t="shared" si="2"/>
        <v>1501.7800000000002</v>
      </c>
      <c r="AE8" s="433">
        <f t="shared" si="2"/>
        <v>1789.45</v>
      </c>
      <c r="AF8" s="433">
        <f t="shared" si="2"/>
        <v>1633.21</v>
      </c>
      <c r="AG8" s="433">
        <f t="shared" si="2"/>
        <v>2162.9</v>
      </c>
      <c r="AH8" s="432">
        <f t="shared" si="1"/>
        <v>45962.59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>
        <v>2.09</v>
      </c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>
        <v>23.62</v>
      </c>
      <c r="AB9" s="428">
        <v>31.59</v>
      </c>
      <c r="AC9" s="428">
        <v>11.34</v>
      </c>
      <c r="AD9" s="428">
        <v>16.420000000000002</v>
      </c>
      <c r="AE9" s="428">
        <v>16.350000000000001</v>
      </c>
      <c r="AF9" s="428">
        <v>7.3</v>
      </c>
      <c r="AG9" s="428">
        <v>21.53</v>
      </c>
      <c r="AH9" s="427">
        <f t="shared" si="1"/>
        <v>130.24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>
        <v>141</v>
      </c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>
        <v>2300</v>
      </c>
      <c r="AB10" s="153">
        <v>2703</v>
      </c>
      <c r="AC10" s="153">
        <v>994</v>
      </c>
      <c r="AD10" s="153">
        <v>924</v>
      </c>
      <c r="AE10" s="153">
        <v>1145</v>
      </c>
      <c r="AF10" s="153">
        <v>1018</v>
      </c>
      <c r="AG10" s="153">
        <v>1126</v>
      </c>
      <c r="AH10" s="421">
        <f t="shared" si="1"/>
        <v>10351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>
        <v>22.13</v>
      </c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>
        <v>249.65</v>
      </c>
      <c r="AB12" s="153">
        <v>333.78</v>
      </c>
      <c r="AC12" s="153">
        <v>120.04</v>
      </c>
      <c r="AD12" s="153">
        <v>173.79</v>
      </c>
      <c r="AE12" s="153">
        <v>172.89</v>
      </c>
      <c r="AF12" s="153">
        <v>76.8</v>
      </c>
      <c r="AG12" s="153">
        <v>227.47</v>
      </c>
      <c r="AH12" s="421">
        <f t="shared" si="1"/>
        <v>1376.5499999999997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>
        <v>2.12</v>
      </c>
      <c r="AG13" s="153"/>
      <c r="AH13" s="421">
        <f t="shared" si="1"/>
        <v>2.12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165.22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2573.27</v>
      </c>
      <c r="AB14" s="422">
        <f t="shared" si="3"/>
        <v>3068.37</v>
      </c>
      <c r="AC14" s="422">
        <f t="shared" si="3"/>
        <v>1125.3800000000001</v>
      </c>
      <c r="AD14" s="422">
        <f t="shared" si="3"/>
        <v>1114.21</v>
      </c>
      <c r="AE14" s="422">
        <f t="shared" si="3"/>
        <v>1334.2399999999998</v>
      </c>
      <c r="AF14" s="422">
        <f t="shared" si="3"/>
        <v>1104.2199999999998</v>
      </c>
      <c r="AG14" s="422">
        <f t="shared" si="3"/>
        <v>1375</v>
      </c>
      <c r="AH14" s="421">
        <f t="shared" si="1"/>
        <v>11859.909999999998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852.95</v>
      </c>
      <c r="F15" s="414">
        <f t="shared" si="4"/>
        <v>1220.1100000000001</v>
      </c>
      <c r="G15" s="414">
        <f t="shared" si="4"/>
        <v>1415.53</v>
      </c>
      <c r="H15" s="414">
        <f t="shared" si="4"/>
        <v>638.91999999999996</v>
      </c>
      <c r="I15" s="414">
        <f t="shared" si="4"/>
        <v>858.05</v>
      </c>
      <c r="J15" s="414">
        <f t="shared" si="4"/>
        <v>493.25</v>
      </c>
      <c r="K15" s="414">
        <f t="shared" si="4"/>
        <v>438.45</v>
      </c>
      <c r="L15" s="414">
        <f t="shared" si="4"/>
        <v>689.8</v>
      </c>
      <c r="M15" s="414">
        <f t="shared" si="4"/>
        <v>1026.56</v>
      </c>
      <c r="N15" s="414">
        <f t="shared" si="4"/>
        <v>1532.84</v>
      </c>
      <c r="O15" s="414">
        <f t="shared" si="4"/>
        <v>1204.53</v>
      </c>
      <c r="P15" s="414">
        <f t="shared" si="4"/>
        <v>1177.5700000000002</v>
      </c>
      <c r="Q15" s="414">
        <f t="shared" si="4"/>
        <v>1079.8799999999999</v>
      </c>
      <c r="R15" s="414">
        <f t="shared" si="4"/>
        <v>1514.18</v>
      </c>
      <c r="S15" s="414">
        <f t="shared" si="4"/>
        <v>2311.02</v>
      </c>
      <c r="T15" s="414">
        <f t="shared" si="4"/>
        <v>3054</v>
      </c>
      <c r="U15" s="414">
        <f t="shared" si="4"/>
        <v>2414.1999999999998</v>
      </c>
      <c r="V15" s="414">
        <f t="shared" si="4"/>
        <v>1754.46</v>
      </c>
      <c r="W15" s="414">
        <f t="shared" si="4"/>
        <v>1261.1099999999999</v>
      </c>
      <c r="X15" s="414">
        <f t="shared" si="4"/>
        <v>1655.77</v>
      </c>
      <c r="Y15" s="414">
        <f t="shared" si="4"/>
        <v>1463.4099999999999</v>
      </c>
      <c r="Z15" s="414">
        <f t="shared" si="4"/>
        <v>2223.65</v>
      </c>
      <c r="AA15" s="414">
        <f t="shared" si="4"/>
        <v>5192.5299999999988</v>
      </c>
      <c r="AB15" s="414">
        <f t="shared" si="4"/>
        <v>6544.74</v>
      </c>
      <c r="AC15" s="414">
        <f t="shared" si="4"/>
        <v>3789.98</v>
      </c>
      <c r="AD15" s="414">
        <f t="shared" si="4"/>
        <v>2615.9900000000002</v>
      </c>
      <c r="AE15" s="414">
        <f t="shared" si="4"/>
        <v>3123.69</v>
      </c>
      <c r="AF15" s="414">
        <f t="shared" si="4"/>
        <v>2737.4300000000003</v>
      </c>
      <c r="AG15" s="414">
        <f t="shared" si="4"/>
        <v>3537.9</v>
      </c>
      <c r="AH15" s="109">
        <f t="shared" si="1"/>
        <v>57822.500000000007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4" t="s">
        <v>127</v>
      </c>
      <c r="AK17" s="515"/>
      <c r="AL17" s="515"/>
      <c r="AM17" s="516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>
        <v>344.8</v>
      </c>
      <c r="F18" s="437">
        <v>352.67</v>
      </c>
      <c r="G18" s="437">
        <v>404.08</v>
      </c>
      <c r="H18" s="437">
        <v>190.26</v>
      </c>
      <c r="I18" s="437">
        <v>387.45</v>
      </c>
      <c r="J18" s="437">
        <v>157.21</v>
      </c>
      <c r="K18" s="437">
        <v>127.13</v>
      </c>
      <c r="L18" s="437">
        <v>209.99</v>
      </c>
      <c r="M18" s="437">
        <v>224</v>
      </c>
      <c r="N18" s="437">
        <f>444.46+63</f>
        <v>507.46</v>
      </c>
      <c r="O18" s="437">
        <v>419.51</v>
      </c>
      <c r="P18" s="437">
        <v>372.51</v>
      </c>
      <c r="Q18" s="437">
        <v>368.78</v>
      </c>
      <c r="R18" s="437">
        <v>563.6</v>
      </c>
      <c r="S18" s="437">
        <f>545.5+644.59</f>
        <v>1190.0900000000001</v>
      </c>
      <c r="T18" s="107">
        <v>1018.15</v>
      </c>
      <c r="U18" s="107">
        <v>649.61</v>
      </c>
      <c r="V18" s="107">
        <v>599.80999999999995</v>
      </c>
      <c r="W18" s="107">
        <v>237.86</v>
      </c>
      <c r="X18" s="107">
        <v>877.69</v>
      </c>
      <c r="Y18" s="107">
        <v>482.35</v>
      </c>
      <c r="Z18" s="107">
        <v>638.84</v>
      </c>
      <c r="AA18" s="107">
        <f>409+46</f>
        <v>455</v>
      </c>
      <c r="AB18" s="107">
        <v>765.84</v>
      </c>
      <c r="AC18" s="107">
        <v>547.13</v>
      </c>
      <c r="AD18" s="107">
        <v>402.12</v>
      </c>
      <c r="AE18" s="495">
        <v>631.39</v>
      </c>
      <c r="AF18" s="483">
        <v>578.76</v>
      </c>
      <c r="AG18" s="484">
        <v>503.29</v>
      </c>
      <c r="AH18" s="419">
        <f t="shared" ref="AH18:AH24" si="5">SUM(C18:AG18)</f>
        <v>14207.380000000003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>
        <v>86.37</v>
      </c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>
        <v>683.41</v>
      </c>
      <c r="AB19" s="125">
        <v>627.74</v>
      </c>
      <c r="AC19" s="125">
        <v>416.96</v>
      </c>
      <c r="AD19" s="125">
        <v>255.45</v>
      </c>
      <c r="AE19" s="496">
        <v>474.14</v>
      </c>
      <c r="AF19" s="485">
        <v>428.22</v>
      </c>
      <c r="AG19" s="486">
        <v>378.75</v>
      </c>
      <c r="AH19" s="418">
        <f t="shared" si="5"/>
        <v>3351.04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>
        <v>508.15</v>
      </c>
      <c r="F20" s="439">
        <v>867.45</v>
      </c>
      <c r="G20" s="439">
        <v>1011.45</v>
      </c>
      <c r="H20" s="439">
        <v>283.44</v>
      </c>
      <c r="I20" s="439">
        <v>479.6</v>
      </c>
      <c r="J20" s="439">
        <v>336.04</v>
      </c>
      <c r="K20" s="439">
        <v>311.32</v>
      </c>
      <c r="L20" s="439">
        <v>479.81</v>
      </c>
      <c r="M20" s="439">
        <v>802.56</v>
      </c>
      <c r="N20" s="439">
        <v>1025.3800000000001</v>
      </c>
      <c r="O20" s="439">
        <v>785.02</v>
      </c>
      <c r="P20" s="439">
        <v>805.01</v>
      </c>
      <c r="Q20" s="439">
        <v>711.1</v>
      </c>
      <c r="R20" s="439">
        <v>950.58</v>
      </c>
      <c r="S20" s="439">
        <v>1120.93</v>
      </c>
      <c r="T20" s="125">
        <v>2035.85</v>
      </c>
      <c r="U20" s="125">
        <v>1764.59</v>
      </c>
      <c r="V20" s="125">
        <v>1154.6500000000001</v>
      </c>
      <c r="W20" s="125">
        <v>1023.25</v>
      </c>
      <c r="X20" s="125">
        <v>778.08</v>
      </c>
      <c r="Y20" s="125">
        <v>981.06</v>
      </c>
      <c r="Z20" s="125">
        <v>1584.81</v>
      </c>
      <c r="AA20" s="125">
        <v>2210.2600000000002</v>
      </c>
      <c r="AB20" s="125">
        <v>2710.53</v>
      </c>
      <c r="AC20" s="485">
        <v>2117.4699999999998</v>
      </c>
      <c r="AD20" s="485">
        <v>1099.6600000000001</v>
      </c>
      <c r="AE20" s="485">
        <v>1158.06</v>
      </c>
      <c r="AF20" s="485">
        <v>1054.45</v>
      </c>
      <c r="AG20" s="486">
        <v>1659.61</v>
      </c>
      <c r="AH20" s="418">
        <f t="shared" si="5"/>
        <v>31810.170000000009</v>
      </c>
      <c r="AJ20" s="126" t="s">
        <v>60</v>
      </c>
      <c r="AK20" s="127" t="s">
        <v>54</v>
      </c>
      <c r="AL20" s="452">
        <f>SUM(C18:AE19)</f>
        <v>15669.400000000001</v>
      </c>
      <c r="AM20" s="453">
        <f>SUM(AF18:AG19)</f>
        <v>1889.02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>
        <v>78.849999999999994</v>
      </c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>
        <v>1889.86</v>
      </c>
      <c r="AB21" s="125">
        <v>2440.63</v>
      </c>
      <c r="AC21" s="485">
        <v>708.42</v>
      </c>
      <c r="AD21" s="485">
        <v>858.76</v>
      </c>
      <c r="AE21" s="485">
        <v>860.1</v>
      </c>
      <c r="AF21" s="485">
        <v>676</v>
      </c>
      <c r="AG21" s="486">
        <v>996.25</v>
      </c>
      <c r="AH21" s="418">
        <f>SUM(C21:AG21)</f>
        <v>8508.8700000000008</v>
      </c>
      <c r="AJ21" s="129" t="s">
        <v>60</v>
      </c>
      <c r="AK21" s="130" t="s">
        <v>202</v>
      </c>
      <c r="AL21" s="290">
        <f>SUM(C20:AB21)-AL29</f>
        <v>28219.760000000006</v>
      </c>
      <c r="AM21" s="291">
        <f>SUM(AC20:AG21)-AM29</f>
        <v>10839.34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88"/>
      <c r="AG22" s="489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490"/>
      <c r="AG23" s="49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1">
        <f>SUM(C18:C23)</f>
        <v>0</v>
      </c>
      <c r="D24" s="472">
        <f t="shared" ref="D24:AG24" si="6">SUM(D18:D23)</f>
        <v>0</v>
      </c>
      <c r="E24" s="472">
        <f t="shared" si="6"/>
        <v>852.95</v>
      </c>
      <c r="F24" s="472">
        <f t="shared" si="6"/>
        <v>1220.1200000000001</v>
      </c>
      <c r="G24" s="472">
        <f t="shared" si="6"/>
        <v>1415.53</v>
      </c>
      <c r="H24" s="472">
        <f t="shared" si="6"/>
        <v>638.91999999999996</v>
      </c>
      <c r="I24" s="472">
        <f t="shared" si="6"/>
        <v>867.05</v>
      </c>
      <c r="J24" s="472">
        <f t="shared" si="6"/>
        <v>493.25</v>
      </c>
      <c r="K24" s="472">
        <f t="shared" si="6"/>
        <v>438.45</v>
      </c>
      <c r="L24" s="472">
        <f t="shared" si="6"/>
        <v>689.8</v>
      </c>
      <c r="M24" s="472">
        <f t="shared" si="6"/>
        <v>1026.56</v>
      </c>
      <c r="N24" s="472">
        <f t="shared" si="6"/>
        <v>1532.8400000000001</v>
      </c>
      <c r="O24" s="472">
        <f t="shared" si="6"/>
        <v>1204.53</v>
      </c>
      <c r="P24" s="472">
        <f t="shared" si="6"/>
        <v>1177.52</v>
      </c>
      <c r="Q24" s="472">
        <f t="shared" si="6"/>
        <v>1079.8800000000001</v>
      </c>
      <c r="R24" s="472">
        <f t="shared" si="6"/>
        <v>1514.18</v>
      </c>
      <c r="S24" s="472">
        <f t="shared" si="6"/>
        <v>2311.0200000000004</v>
      </c>
      <c r="T24" s="472">
        <f t="shared" si="6"/>
        <v>3054</v>
      </c>
      <c r="U24" s="472">
        <f t="shared" si="6"/>
        <v>2414.1999999999998</v>
      </c>
      <c r="V24" s="472">
        <f t="shared" si="6"/>
        <v>1754.46</v>
      </c>
      <c r="W24" s="472">
        <f t="shared" si="6"/>
        <v>1261.1100000000001</v>
      </c>
      <c r="X24" s="472">
        <f t="shared" si="6"/>
        <v>1655.77</v>
      </c>
      <c r="Y24" s="472">
        <f t="shared" si="6"/>
        <v>1463.4099999999999</v>
      </c>
      <c r="Z24" s="472">
        <f t="shared" si="6"/>
        <v>2223.65</v>
      </c>
      <c r="AA24" s="472">
        <f t="shared" si="6"/>
        <v>5238.53</v>
      </c>
      <c r="AB24" s="472">
        <f t="shared" si="6"/>
        <v>6544.7400000000007</v>
      </c>
      <c r="AC24" s="472">
        <f t="shared" si="6"/>
        <v>3789.9799999999996</v>
      </c>
      <c r="AD24" s="472">
        <f t="shared" si="6"/>
        <v>2615.9899999999998</v>
      </c>
      <c r="AE24" s="472">
        <f t="shared" si="6"/>
        <v>3123.69</v>
      </c>
      <c r="AF24" s="472">
        <f t="shared" si="6"/>
        <v>2737.4300000000003</v>
      </c>
      <c r="AG24" s="473">
        <f t="shared" si="6"/>
        <v>3537.8999999999996</v>
      </c>
      <c r="AH24" s="459">
        <f t="shared" si="5"/>
        <v>57877.46</v>
      </c>
      <c r="AJ24" s="135" t="s">
        <v>84</v>
      </c>
      <c r="AK24" s="136" t="s">
        <v>33</v>
      </c>
      <c r="AL24" s="292">
        <f>SUM(AH26:AH27)</f>
        <v>-54.960000000000264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3" t="s">
        <v>76</v>
      </c>
      <c r="AK25" s="517"/>
      <c r="AL25" s="518">
        <f>SUM(AL20:AM24)</f>
        <v>56562.560000000005</v>
      </c>
      <c r="AM25" s="519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>SUM(C3:C7)-(C18+C20+C22)</f>
        <v>0</v>
      </c>
      <c r="D26" s="414">
        <f t="shared" ref="D26:AG26" si="7">SUM(D3:D7)-(D18+D20+D22)</f>
        <v>0</v>
      </c>
      <c r="E26" s="414">
        <f t="shared" si="7"/>
        <v>0</v>
      </c>
      <c r="F26" s="414">
        <f t="shared" si="7"/>
        <v>-9.9999999999909051E-3</v>
      </c>
      <c r="G26" s="414">
        <f t="shared" si="7"/>
        <v>0</v>
      </c>
      <c r="H26" s="414">
        <f t="shared" si="7"/>
        <v>0</v>
      </c>
      <c r="I26" s="414">
        <f t="shared" si="7"/>
        <v>-9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5.0000000000181899E-2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-46.000000000000455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-54.960000000000264</v>
      </c>
    </row>
    <row r="27" spans="1:40" ht="16.5" thickBot="1" x14ac:dyDescent="0.3">
      <c r="A27" s="413"/>
      <c r="B27" s="183" t="s">
        <v>184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>
        <v>15.89</v>
      </c>
      <c r="F29" s="450">
        <v>27.13</v>
      </c>
      <c r="G29" s="450">
        <v>31.61</v>
      </c>
      <c r="H29" s="450">
        <v>11.35</v>
      </c>
      <c r="I29" s="450">
        <v>15</v>
      </c>
      <c r="J29" s="450">
        <v>10.5</v>
      </c>
      <c r="K29" s="450">
        <v>9.6999999999999993</v>
      </c>
      <c r="L29" s="450">
        <v>15</v>
      </c>
      <c r="M29" s="450">
        <v>25.12</v>
      </c>
      <c r="N29" s="450">
        <v>32.03</v>
      </c>
      <c r="O29" s="450">
        <v>24.52</v>
      </c>
      <c r="P29" s="450">
        <v>25.21</v>
      </c>
      <c r="Q29" s="450">
        <v>22.21</v>
      </c>
      <c r="R29" s="450">
        <v>29.67</v>
      </c>
      <c r="S29" s="450">
        <v>35.06</v>
      </c>
      <c r="T29" s="450">
        <v>63.65</v>
      </c>
      <c r="U29" s="450">
        <v>55.15</v>
      </c>
      <c r="V29" s="450">
        <v>36.049999999999997</v>
      </c>
      <c r="W29" s="450">
        <v>31.95</v>
      </c>
      <c r="X29" s="450">
        <v>24.35</v>
      </c>
      <c r="Y29" s="450">
        <v>30.67</v>
      </c>
      <c r="Z29" s="450">
        <v>49.56</v>
      </c>
      <c r="AA29" s="450">
        <v>128.15</v>
      </c>
      <c r="AB29" s="450">
        <v>160.97</v>
      </c>
      <c r="AC29" s="487">
        <v>88.31</v>
      </c>
      <c r="AD29" s="487">
        <v>61.12</v>
      </c>
      <c r="AE29" s="487">
        <v>62.99</v>
      </c>
      <c r="AF29" s="487">
        <v>54.05</v>
      </c>
      <c r="AG29" s="487">
        <v>82.97</v>
      </c>
      <c r="AH29" s="451">
        <f>SUM(C29:AG29)</f>
        <v>1259.94</v>
      </c>
      <c r="AJ29" s="211" t="s">
        <v>203</v>
      </c>
      <c r="AK29" s="212" t="s">
        <v>197</v>
      </c>
      <c r="AL29" s="271">
        <f>SUM(C29:AB29)</f>
        <v>910.50000000000011</v>
      </c>
      <c r="AM29" s="272">
        <f>SUM(AC29:AG29)</f>
        <v>349.44000000000005</v>
      </c>
    </row>
    <row r="30" spans="1:40" ht="16.5" thickBot="1" x14ac:dyDescent="0.3">
      <c r="B30" s="60" t="s">
        <v>232</v>
      </c>
      <c r="C30" s="482">
        <f t="shared" ref="C30:G30" si="9">C20+C21-C29</f>
        <v>0</v>
      </c>
      <c r="D30" s="482">
        <f t="shared" si="9"/>
        <v>0</v>
      </c>
      <c r="E30" s="482">
        <f t="shared" si="9"/>
        <v>492.26</v>
      </c>
      <c r="F30" s="482">
        <f t="shared" si="9"/>
        <v>840.32</v>
      </c>
      <c r="G30" s="482">
        <f t="shared" si="9"/>
        <v>979.84</v>
      </c>
      <c r="H30" s="482">
        <f>H20+H21-H29</f>
        <v>350.93999999999994</v>
      </c>
      <c r="I30" s="482">
        <f t="shared" ref="I30:AG30" si="10">I20+I21-I29</f>
        <v>464.6</v>
      </c>
      <c r="J30" s="482">
        <f t="shared" si="10"/>
        <v>325.54000000000002</v>
      </c>
      <c r="K30" s="482">
        <f t="shared" si="10"/>
        <v>301.62</v>
      </c>
      <c r="L30" s="482">
        <f t="shared" si="10"/>
        <v>464.81</v>
      </c>
      <c r="M30" s="482">
        <f t="shared" si="10"/>
        <v>777.43999999999994</v>
      </c>
      <c r="N30" s="482">
        <f t="shared" si="10"/>
        <v>993.35000000000014</v>
      </c>
      <c r="O30" s="482">
        <f t="shared" si="10"/>
        <v>760.5</v>
      </c>
      <c r="P30" s="482">
        <f t="shared" si="10"/>
        <v>779.8</v>
      </c>
      <c r="Q30" s="482">
        <f t="shared" si="10"/>
        <v>688.89</v>
      </c>
      <c r="R30" s="482">
        <f t="shared" si="10"/>
        <v>920.91000000000008</v>
      </c>
      <c r="S30" s="482">
        <f t="shared" si="10"/>
        <v>1085.8700000000001</v>
      </c>
      <c r="T30" s="482">
        <f t="shared" si="10"/>
        <v>1972.1999999999998</v>
      </c>
      <c r="U30" s="482">
        <f t="shared" si="10"/>
        <v>1709.4399999999998</v>
      </c>
      <c r="V30" s="482">
        <f t="shared" si="10"/>
        <v>1118.6000000000001</v>
      </c>
      <c r="W30" s="482">
        <f t="shared" si="10"/>
        <v>991.3</v>
      </c>
      <c r="X30" s="482">
        <f t="shared" si="10"/>
        <v>753.73</v>
      </c>
      <c r="Y30" s="482">
        <f t="shared" si="10"/>
        <v>950.39</v>
      </c>
      <c r="Z30" s="482">
        <f t="shared" si="10"/>
        <v>1535.25</v>
      </c>
      <c r="AA30" s="482">
        <f t="shared" si="10"/>
        <v>3971.97</v>
      </c>
      <c r="AB30" s="482">
        <f t="shared" si="10"/>
        <v>4990.1899999999996</v>
      </c>
      <c r="AC30" s="482">
        <f t="shared" si="10"/>
        <v>2737.58</v>
      </c>
      <c r="AD30" s="482">
        <f t="shared" si="10"/>
        <v>1897.3000000000002</v>
      </c>
      <c r="AE30" s="482">
        <f t="shared" si="10"/>
        <v>1955.1699999999998</v>
      </c>
      <c r="AF30" s="482">
        <f t="shared" si="10"/>
        <v>1676.4</v>
      </c>
      <c r="AG30" s="482">
        <f t="shared" si="10"/>
        <v>2572.89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2" t="s">
        <v>57</v>
      </c>
      <c r="AK31" s="513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v>77</v>
      </c>
      <c r="F32" s="144">
        <v>123</v>
      </c>
      <c r="G32" s="144">
        <v>121</v>
      </c>
      <c r="H32" s="144">
        <v>51</v>
      </c>
      <c r="I32" s="144">
        <v>78</v>
      </c>
      <c r="J32" s="144">
        <v>48</v>
      </c>
      <c r="K32" s="144">
        <v>31</v>
      </c>
      <c r="L32" s="144">
        <v>65</v>
      </c>
      <c r="M32" s="144">
        <v>114</v>
      </c>
      <c r="N32" s="144">
        <f>147+9</f>
        <v>156</v>
      </c>
      <c r="O32" s="144">
        <v>105</v>
      </c>
      <c r="P32" s="144">
        <v>114</v>
      </c>
      <c r="Q32" s="144">
        <v>99</v>
      </c>
      <c r="R32" s="144">
        <v>141</v>
      </c>
      <c r="S32" s="144">
        <v>165</v>
      </c>
      <c r="T32" s="144">
        <v>277</v>
      </c>
      <c r="U32" s="144">
        <v>243</v>
      </c>
      <c r="V32" s="144">
        <v>163</v>
      </c>
      <c r="W32" s="144">
        <v>51</v>
      </c>
      <c r="X32" s="144">
        <v>156</v>
      </c>
      <c r="Y32" s="144">
        <v>124</v>
      </c>
      <c r="Z32" s="144">
        <v>217</v>
      </c>
      <c r="AA32" s="144">
        <v>248</v>
      </c>
      <c r="AB32" s="144">
        <v>325</v>
      </c>
      <c r="AC32" s="144">
        <v>273</v>
      </c>
      <c r="AD32" s="144">
        <v>142</v>
      </c>
      <c r="AE32" s="144">
        <v>164</v>
      </c>
      <c r="AF32" s="144">
        <v>146</v>
      </c>
      <c r="AG32" s="144">
        <v>201</v>
      </c>
      <c r="AH32" s="411">
        <f t="shared" ref="AH32:AH44" si="11">SUM(C32:AG32)</f>
        <v>4218</v>
      </c>
      <c r="AJ32" s="257">
        <f>AH32+AH39</f>
        <v>5317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v>7</v>
      </c>
      <c r="F33" s="144">
        <v>20</v>
      </c>
      <c r="G33" s="144">
        <v>25</v>
      </c>
      <c r="H33" s="144">
        <f>'[1]TEMP Summary'!$T$22</f>
        <v>0</v>
      </c>
      <c r="I33" s="144">
        <v>4</v>
      </c>
      <c r="J33" s="144">
        <v>1</v>
      </c>
      <c r="K33" s="144">
        <v>4</v>
      </c>
      <c r="L33" s="144">
        <v>13</v>
      </c>
      <c r="M33" s="144">
        <v>23</v>
      </c>
      <c r="N33" s="144">
        <v>37</v>
      </c>
      <c r="O33" s="144">
        <v>17</v>
      </c>
      <c r="P33" s="144">
        <v>1</v>
      </c>
      <c r="Q33" s="144">
        <v>7</v>
      </c>
      <c r="R33" s="144">
        <v>9</v>
      </c>
      <c r="S33" s="144">
        <v>17</v>
      </c>
      <c r="T33" s="144">
        <v>52</v>
      </c>
      <c r="U33" s="144">
        <v>40</v>
      </c>
      <c r="V33" s="144">
        <v>24</v>
      </c>
      <c r="W33" s="144">
        <v>141</v>
      </c>
      <c r="X33" s="144">
        <v>10</v>
      </c>
      <c r="Y33" s="144">
        <v>32</v>
      </c>
      <c r="Z33" s="144">
        <v>33</v>
      </c>
      <c r="AA33" s="144">
        <v>68</v>
      </c>
      <c r="AB33" s="144">
        <v>97</v>
      </c>
      <c r="AC33" s="144">
        <v>67</v>
      </c>
      <c r="AD33" s="144">
        <v>35</v>
      </c>
      <c r="AE33" s="144">
        <v>46</v>
      </c>
      <c r="AF33" s="144">
        <v>51</v>
      </c>
      <c r="AG33" s="144">
        <v>69</v>
      </c>
      <c r="AH33" s="410">
        <f t="shared" si="11"/>
        <v>950</v>
      </c>
      <c r="AJ33" s="257">
        <f t="shared" ref="AJ33:AJ37" si="12">AH33+AH40</f>
        <v>1280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v>4</v>
      </c>
      <c r="F34" s="144">
        <v>2</v>
      </c>
      <c r="G34" s="144">
        <v>4</v>
      </c>
      <c r="H34" s="144">
        <v>1</v>
      </c>
      <c r="I34" s="144">
        <v>4</v>
      </c>
      <c r="J34" s="144">
        <f>'[1]TEMP Summary'!$T$22</f>
        <v>0</v>
      </c>
      <c r="K34" s="144">
        <f>'[1]TEMP Summary'!$T$22</f>
        <v>0</v>
      </c>
      <c r="L34" s="144">
        <v>1</v>
      </c>
      <c r="M34" s="144">
        <v>2</v>
      </c>
      <c r="N34" s="144">
        <v>10</v>
      </c>
      <c r="O34" s="144">
        <v>2</v>
      </c>
      <c r="P34" s="144">
        <v>3</v>
      </c>
      <c r="Q34" s="144">
        <v>1</v>
      </c>
      <c r="R34" s="144">
        <v>1</v>
      </c>
      <c r="S34" s="144">
        <v>2</v>
      </c>
      <c r="T34" s="144">
        <v>1</v>
      </c>
      <c r="U34" s="144">
        <v>6</v>
      </c>
      <c r="V34" s="144">
        <v>2</v>
      </c>
      <c r="W34" s="144">
        <v>1</v>
      </c>
      <c r="X34" s="144">
        <v>2</v>
      </c>
      <c r="Y34" s="144">
        <f>'[1]TEMP Summary'!$T$22</f>
        <v>0</v>
      </c>
      <c r="Z34" s="144">
        <v>3</v>
      </c>
      <c r="AA34" s="144">
        <v>14</v>
      </c>
      <c r="AB34" s="144">
        <v>12</v>
      </c>
      <c r="AC34" s="144">
        <v>15</v>
      </c>
      <c r="AD34" s="144">
        <f>'[1]TEMP Summary'!$T$22</f>
        <v>0</v>
      </c>
      <c r="AE34" s="144">
        <v>1</v>
      </c>
      <c r="AF34" s="144">
        <v>1</v>
      </c>
      <c r="AG34" s="144">
        <v>7</v>
      </c>
      <c r="AH34" s="410">
        <f t="shared" si="11"/>
        <v>102</v>
      </c>
      <c r="AJ34" s="257">
        <f t="shared" si="12"/>
        <v>136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v>0</v>
      </c>
      <c r="F35" s="144">
        <f>'[1]TEMP Summary'!$T$22</f>
        <v>0</v>
      </c>
      <c r="G35" s="144">
        <v>0</v>
      </c>
      <c r="H35" s="144">
        <f>'[1]TEMP Summary'!$T$22</f>
        <v>0</v>
      </c>
      <c r="I35" s="144">
        <f>'[1]TEMP Summary'!$T$22</f>
        <v>0</v>
      </c>
      <c r="J35" s="144"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v>23</v>
      </c>
      <c r="S35" s="144">
        <v>15</v>
      </c>
      <c r="T35" s="144">
        <f>'[1]TEMP Summary'!$T$22</f>
        <v>0</v>
      </c>
      <c r="U35" s="144">
        <v>0</v>
      </c>
      <c r="V35" s="144">
        <f>'[1]TEMP Summary'!$T$22</f>
        <v>0</v>
      </c>
      <c r="W35" s="144">
        <f>'[1]TEMP Summary'!$T$22</f>
        <v>0</v>
      </c>
      <c r="X35" s="144">
        <v>1</v>
      </c>
      <c r="Y35" s="144">
        <v>8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1"/>
        <v>47</v>
      </c>
      <c r="AJ35" s="257">
        <f t="shared" si="12"/>
        <v>47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v>26</v>
      </c>
      <c r="F36" s="144">
        <v>26</v>
      </c>
      <c r="G36" s="144">
        <v>37</v>
      </c>
      <c r="H36" s="144">
        <v>11</v>
      </c>
      <c r="I36" s="144">
        <v>27</v>
      </c>
      <c r="J36" s="144">
        <v>18</v>
      </c>
      <c r="K36" s="144">
        <v>27</v>
      </c>
      <c r="L36" s="144">
        <v>18</v>
      </c>
      <c r="M36" s="144">
        <v>13</v>
      </c>
      <c r="N36" s="144">
        <v>28</v>
      </c>
      <c r="O36" s="144">
        <v>40</v>
      </c>
      <c r="P36" s="144">
        <v>38</v>
      </c>
      <c r="Q36" s="144">
        <v>33</v>
      </c>
      <c r="R36" s="144">
        <v>39</v>
      </c>
      <c r="S36" s="144">
        <v>32</v>
      </c>
      <c r="T36" s="144">
        <v>82</v>
      </c>
      <c r="U36" s="144">
        <v>50</v>
      </c>
      <c r="V36" s="144">
        <v>38</v>
      </c>
      <c r="W36" s="144">
        <v>23</v>
      </c>
      <c r="X36" s="144">
        <v>58</v>
      </c>
      <c r="Y36" s="144">
        <v>53</v>
      </c>
      <c r="Z36" s="144">
        <v>50</v>
      </c>
      <c r="AA36" s="144">
        <v>38</v>
      </c>
      <c r="AB36" s="144">
        <v>64</v>
      </c>
      <c r="AC36" s="144">
        <v>43</v>
      </c>
      <c r="AD36" s="144">
        <v>37</v>
      </c>
      <c r="AE36" s="144">
        <v>54</v>
      </c>
      <c r="AF36" s="144">
        <v>33</v>
      </c>
      <c r="AG36" s="144">
        <v>31</v>
      </c>
      <c r="AH36" s="410">
        <f t="shared" si="11"/>
        <v>1067</v>
      </c>
      <c r="AJ36" s="257">
        <f t="shared" si="12"/>
        <v>1235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v>4</v>
      </c>
      <c r="F37" s="144">
        <v>6</v>
      </c>
      <c r="G37" s="144">
        <v>5</v>
      </c>
      <c r="H37" s="144">
        <v>5</v>
      </c>
      <c r="I37" s="144">
        <v>4</v>
      </c>
      <c r="J37" s="144">
        <v>2</v>
      </c>
      <c r="K37" s="144">
        <v>1</v>
      </c>
      <c r="L37" s="144">
        <v>3</v>
      </c>
      <c r="M37" s="144">
        <v>5</v>
      </c>
      <c r="N37" s="144">
        <v>8</v>
      </c>
      <c r="O37" s="144">
        <v>1</v>
      </c>
      <c r="P37" s="144">
        <v>7</v>
      </c>
      <c r="Q37" s="144">
        <v>6</v>
      </c>
      <c r="R37" s="144">
        <v>7</v>
      </c>
      <c r="S37" s="144">
        <v>22</v>
      </c>
      <c r="T37" s="144">
        <v>9</v>
      </c>
      <c r="U37" s="144">
        <v>4</v>
      </c>
      <c r="V37" s="144">
        <v>6</v>
      </c>
      <c r="W37" s="144">
        <f>'[1]TEMP Summary'!$T$22</f>
        <v>0</v>
      </c>
      <c r="X37" s="144">
        <v>13</v>
      </c>
      <c r="Y37" s="144">
        <v>10</v>
      </c>
      <c r="Z37" s="144">
        <v>13</v>
      </c>
      <c r="AA37" s="144">
        <v>11</v>
      </c>
      <c r="AB37" s="144">
        <v>3</v>
      </c>
      <c r="AC37" s="144">
        <v>10</v>
      </c>
      <c r="AD37" s="144">
        <v>3</v>
      </c>
      <c r="AE37" s="144">
        <v>5</v>
      </c>
      <c r="AF37" s="144">
        <v>20</v>
      </c>
      <c r="AG37" s="144">
        <v>9</v>
      </c>
      <c r="AH37" s="410">
        <f t="shared" si="11"/>
        <v>202</v>
      </c>
      <c r="AJ37" s="257">
        <f t="shared" si="12"/>
        <v>254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3">SUM(C32:C37)</f>
        <v>0</v>
      </c>
      <c r="D38" s="442">
        <f t="shared" si="13"/>
        <v>0</v>
      </c>
      <c r="E38" s="442">
        <f t="shared" si="13"/>
        <v>118</v>
      </c>
      <c r="F38" s="442">
        <f t="shared" si="13"/>
        <v>177</v>
      </c>
      <c r="G38" s="442">
        <f t="shared" si="13"/>
        <v>192</v>
      </c>
      <c r="H38" s="442">
        <f t="shared" si="13"/>
        <v>68</v>
      </c>
      <c r="I38" s="442">
        <f t="shared" si="13"/>
        <v>117</v>
      </c>
      <c r="J38" s="442">
        <f t="shared" si="13"/>
        <v>69</v>
      </c>
      <c r="K38" s="442">
        <f t="shared" si="13"/>
        <v>63</v>
      </c>
      <c r="L38" s="442">
        <f t="shared" si="13"/>
        <v>100</v>
      </c>
      <c r="M38" s="442">
        <f t="shared" si="13"/>
        <v>157</v>
      </c>
      <c r="N38" s="442">
        <f t="shared" si="13"/>
        <v>239</v>
      </c>
      <c r="O38" s="442">
        <f t="shared" si="13"/>
        <v>165</v>
      </c>
      <c r="P38" s="442">
        <f t="shared" si="13"/>
        <v>163</v>
      </c>
      <c r="Q38" s="442">
        <f t="shared" si="13"/>
        <v>146</v>
      </c>
      <c r="R38" s="442">
        <f t="shared" si="13"/>
        <v>220</v>
      </c>
      <c r="S38" s="442">
        <f t="shared" si="13"/>
        <v>253</v>
      </c>
      <c r="T38" s="442">
        <f t="shared" si="13"/>
        <v>421</v>
      </c>
      <c r="U38" s="442">
        <f t="shared" si="13"/>
        <v>343</v>
      </c>
      <c r="V38" s="442">
        <f t="shared" si="13"/>
        <v>233</v>
      </c>
      <c r="W38" s="442">
        <f t="shared" si="13"/>
        <v>216</v>
      </c>
      <c r="X38" s="442">
        <f t="shared" si="13"/>
        <v>240</v>
      </c>
      <c r="Y38" s="442">
        <f t="shared" si="13"/>
        <v>227</v>
      </c>
      <c r="Z38" s="442">
        <f t="shared" si="13"/>
        <v>316</v>
      </c>
      <c r="AA38" s="442">
        <f t="shared" si="13"/>
        <v>379</v>
      </c>
      <c r="AB38" s="442">
        <f t="shared" si="13"/>
        <v>501</v>
      </c>
      <c r="AC38" s="442">
        <f t="shared" si="13"/>
        <v>408</v>
      </c>
      <c r="AD38" s="442">
        <f t="shared" si="13"/>
        <v>217</v>
      </c>
      <c r="AE38" s="442">
        <f t="shared" si="13"/>
        <v>270</v>
      </c>
      <c r="AF38" s="442">
        <f t="shared" si="13"/>
        <v>251</v>
      </c>
      <c r="AG38" s="443">
        <f t="shared" si="13"/>
        <v>317</v>
      </c>
      <c r="AH38" s="409">
        <f>SUM(C38:AG38)</f>
        <v>6586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66-H32</f>
        <v>15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500-AA32</f>
        <v>252</v>
      </c>
      <c r="AB39" s="140">
        <f>624-AB32</f>
        <v>299</v>
      </c>
      <c r="AC39" s="140">
        <f>388-AC32</f>
        <v>115</v>
      </c>
      <c r="AD39" s="140">
        <f>224-AD32</f>
        <v>82</v>
      </c>
      <c r="AE39" s="140">
        <f>280-AE32</f>
        <v>116</v>
      </c>
      <c r="AF39" s="140">
        <f>253-AF32</f>
        <v>107</v>
      </c>
      <c r="AG39" s="141">
        <f>314-AG32</f>
        <v>113</v>
      </c>
      <c r="AH39" s="142">
        <f t="shared" si="11"/>
        <v>1099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132-AA33</f>
        <v>64</v>
      </c>
      <c r="AB40" s="144">
        <f>189-AB33</f>
        <v>92</v>
      </c>
      <c r="AC40" s="144">
        <f>88-AC33</f>
        <v>21</v>
      </c>
      <c r="AD40" s="144">
        <f>75-AD33</f>
        <v>40</v>
      </c>
      <c r="AE40" s="144">
        <f>85-AE33</f>
        <v>39</v>
      </c>
      <c r="AF40" s="144">
        <f>82-AF33</f>
        <v>31</v>
      </c>
      <c r="AG40" s="145">
        <f>112-AG33</f>
        <v>43</v>
      </c>
      <c r="AH40" s="142">
        <f t="shared" si="11"/>
        <v>330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16-AA34</f>
        <v>2</v>
      </c>
      <c r="AB41" s="144">
        <f>28-AB34</f>
        <v>16</v>
      </c>
      <c r="AC41" s="144">
        <f>19-AC34</f>
        <v>4</v>
      </c>
      <c r="AD41" s="144">
        <f>4-AD34</f>
        <v>4</v>
      </c>
      <c r="AE41" s="144">
        <f>1-AE34</f>
        <v>0</v>
      </c>
      <c r="AF41" s="144">
        <f>5-AF34</f>
        <v>4</v>
      </c>
      <c r="AG41" s="145">
        <f>11-AG34</f>
        <v>4</v>
      </c>
      <c r="AH41" s="142">
        <f t="shared" si="11"/>
        <v>34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1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17-H36</f>
        <v>6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74-AA36</f>
        <v>36</v>
      </c>
      <c r="AB43" s="144">
        <f>89-AB36</f>
        <v>25</v>
      </c>
      <c r="AC43" s="144">
        <f>57-AC36</f>
        <v>14</v>
      </c>
      <c r="AD43" s="144">
        <f>62-AD36</f>
        <v>25</v>
      </c>
      <c r="AE43" s="144">
        <f>77-AE36</f>
        <v>23</v>
      </c>
      <c r="AF43" s="144">
        <f>52-AF36</f>
        <v>19</v>
      </c>
      <c r="AG43" s="145">
        <f>51-AG36</f>
        <v>20</v>
      </c>
      <c r="AH43" s="142">
        <f t="shared" si="11"/>
        <v>168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8-H37</f>
        <v>3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19-AA37</f>
        <v>8</v>
      </c>
      <c r="AB44" s="144">
        <f>12-AB37</f>
        <v>9</v>
      </c>
      <c r="AC44" s="144">
        <f>19-AC37</f>
        <v>9</v>
      </c>
      <c r="AD44" s="144">
        <f>12-AD37</f>
        <v>9</v>
      </c>
      <c r="AE44" s="144">
        <f>8-AE37</f>
        <v>3</v>
      </c>
      <c r="AF44" s="144">
        <f>23-AF37</f>
        <v>3</v>
      </c>
      <c r="AG44" s="145">
        <f>17-AG37</f>
        <v>8</v>
      </c>
      <c r="AH44" s="142">
        <f t="shared" si="11"/>
        <v>52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4">SUM(C39:C44)</f>
        <v>0</v>
      </c>
      <c r="D45" s="441">
        <f t="shared" si="14"/>
        <v>0</v>
      </c>
      <c r="E45" s="441">
        <f t="shared" si="14"/>
        <v>0</v>
      </c>
      <c r="F45" s="441">
        <f t="shared" si="14"/>
        <v>0</v>
      </c>
      <c r="G45" s="441">
        <f t="shared" si="14"/>
        <v>0</v>
      </c>
      <c r="H45" s="441">
        <f t="shared" si="14"/>
        <v>24</v>
      </c>
      <c r="I45" s="441">
        <f t="shared" si="14"/>
        <v>0</v>
      </c>
      <c r="J45" s="441">
        <f t="shared" si="14"/>
        <v>0</v>
      </c>
      <c r="K45" s="441">
        <f t="shared" si="14"/>
        <v>0</v>
      </c>
      <c r="L45" s="441">
        <f t="shared" si="14"/>
        <v>0</v>
      </c>
      <c r="M45" s="441">
        <f t="shared" si="14"/>
        <v>0</v>
      </c>
      <c r="N45" s="441">
        <f t="shared" si="14"/>
        <v>0</v>
      </c>
      <c r="O45" s="441">
        <f t="shared" si="14"/>
        <v>0</v>
      </c>
      <c r="P45" s="441">
        <f t="shared" si="14"/>
        <v>0</v>
      </c>
      <c r="Q45" s="441">
        <f t="shared" si="14"/>
        <v>0</v>
      </c>
      <c r="R45" s="441">
        <f t="shared" si="14"/>
        <v>0</v>
      </c>
      <c r="S45" s="441">
        <f t="shared" si="14"/>
        <v>0</v>
      </c>
      <c r="T45" s="441">
        <f t="shared" si="14"/>
        <v>0</v>
      </c>
      <c r="U45" s="441">
        <f t="shared" si="14"/>
        <v>0</v>
      </c>
      <c r="V45" s="441">
        <f t="shared" si="14"/>
        <v>0</v>
      </c>
      <c r="W45" s="441">
        <f t="shared" si="14"/>
        <v>0</v>
      </c>
      <c r="X45" s="441">
        <f t="shared" si="14"/>
        <v>0</v>
      </c>
      <c r="Y45" s="441">
        <f t="shared" si="14"/>
        <v>0</v>
      </c>
      <c r="Z45" s="441">
        <f t="shared" si="14"/>
        <v>0</v>
      </c>
      <c r="AA45" s="441">
        <f t="shared" si="14"/>
        <v>362</v>
      </c>
      <c r="AB45" s="441">
        <f>SUM(AB39:AB44)</f>
        <v>441</v>
      </c>
      <c r="AC45" s="441">
        <f t="shared" si="14"/>
        <v>163</v>
      </c>
      <c r="AD45" s="441">
        <f t="shared" si="14"/>
        <v>160</v>
      </c>
      <c r="AE45" s="441">
        <f t="shared" si="14"/>
        <v>181</v>
      </c>
      <c r="AF45" s="441">
        <f t="shared" si="14"/>
        <v>164</v>
      </c>
      <c r="AG45" s="443">
        <f t="shared" si="14"/>
        <v>188</v>
      </c>
      <c r="AH45" s="407">
        <f>SUM(C45:AG45)</f>
        <v>1683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5">SUM(C32:C37,C39:C44)</f>
        <v>0</v>
      </c>
      <c r="D46" s="147">
        <f t="shared" si="15"/>
        <v>0</v>
      </c>
      <c r="E46" s="147">
        <f t="shared" si="15"/>
        <v>118</v>
      </c>
      <c r="F46" s="147">
        <f t="shared" si="15"/>
        <v>177</v>
      </c>
      <c r="G46" s="147">
        <f t="shared" si="15"/>
        <v>192</v>
      </c>
      <c r="H46" s="147">
        <f t="shared" si="15"/>
        <v>92</v>
      </c>
      <c r="I46" s="147">
        <f t="shared" si="15"/>
        <v>117</v>
      </c>
      <c r="J46" s="147">
        <f t="shared" si="15"/>
        <v>69</v>
      </c>
      <c r="K46" s="147">
        <f t="shared" si="15"/>
        <v>63</v>
      </c>
      <c r="L46" s="147">
        <f t="shared" si="15"/>
        <v>100</v>
      </c>
      <c r="M46" s="147">
        <f t="shared" si="15"/>
        <v>157</v>
      </c>
      <c r="N46" s="147">
        <f t="shared" si="15"/>
        <v>239</v>
      </c>
      <c r="O46" s="147">
        <f t="shared" si="15"/>
        <v>165</v>
      </c>
      <c r="P46" s="147">
        <f t="shared" si="15"/>
        <v>163</v>
      </c>
      <c r="Q46" s="147">
        <f t="shared" si="15"/>
        <v>146</v>
      </c>
      <c r="R46" s="147">
        <f t="shared" si="15"/>
        <v>220</v>
      </c>
      <c r="S46" s="147">
        <f t="shared" si="15"/>
        <v>253</v>
      </c>
      <c r="T46" s="147">
        <f t="shared" si="15"/>
        <v>421</v>
      </c>
      <c r="U46" s="147">
        <f t="shared" si="15"/>
        <v>343</v>
      </c>
      <c r="V46" s="147">
        <f t="shared" si="15"/>
        <v>233</v>
      </c>
      <c r="W46" s="147">
        <f t="shared" si="15"/>
        <v>216</v>
      </c>
      <c r="X46" s="147">
        <f t="shared" si="15"/>
        <v>240</v>
      </c>
      <c r="Y46" s="147">
        <f t="shared" si="15"/>
        <v>227</v>
      </c>
      <c r="Z46" s="147">
        <f t="shared" si="15"/>
        <v>316</v>
      </c>
      <c r="AA46" s="147">
        <f t="shared" si="15"/>
        <v>741</v>
      </c>
      <c r="AB46" s="147">
        <f t="shared" si="15"/>
        <v>942</v>
      </c>
      <c r="AC46" s="147">
        <f t="shared" si="15"/>
        <v>571</v>
      </c>
      <c r="AD46" s="147">
        <f t="shared" si="15"/>
        <v>377</v>
      </c>
      <c r="AE46" s="147">
        <f t="shared" si="15"/>
        <v>451</v>
      </c>
      <c r="AF46" s="147">
        <f t="shared" si="15"/>
        <v>415</v>
      </c>
      <c r="AG46" s="262">
        <f t="shared" si="15"/>
        <v>505</v>
      </c>
      <c r="AH46" s="148">
        <f>SUM(AH32:AH37,AH39:AH44)</f>
        <v>8269</v>
      </c>
      <c r="AJ46" s="260">
        <f>AH46</f>
        <v>8269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D26" sqref="AD26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May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45413</v>
      </c>
      <c r="D2" s="106">
        <f>C2+1</f>
        <v>45414</v>
      </c>
      <c r="E2" s="106">
        <f>D2+1</f>
        <v>45415</v>
      </c>
      <c r="F2" s="106">
        <f t="shared" ref="F2:AG2" si="0">E2+1</f>
        <v>45416</v>
      </c>
      <c r="G2" s="106">
        <f t="shared" si="0"/>
        <v>45417</v>
      </c>
      <c r="H2" s="106">
        <f t="shared" si="0"/>
        <v>45418</v>
      </c>
      <c r="I2" s="106">
        <f t="shared" si="0"/>
        <v>45419</v>
      </c>
      <c r="J2" s="106">
        <f t="shared" si="0"/>
        <v>45420</v>
      </c>
      <c r="K2" s="106">
        <f t="shared" si="0"/>
        <v>45421</v>
      </c>
      <c r="L2" s="106">
        <f t="shared" si="0"/>
        <v>45422</v>
      </c>
      <c r="M2" s="106">
        <f t="shared" si="0"/>
        <v>45423</v>
      </c>
      <c r="N2" s="106">
        <f t="shared" si="0"/>
        <v>45424</v>
      </c>
      <c r="O2" s="106">
        <f t="shared" si="0"/>
        <v>45425</v>
      </c>
      <c r="P2" s="106">
        <f t="shared" si="0"/>
        <v>45426</v>
      </c>
      <c r="Q2" s="106">
        <f t="shared" si="0"/>
        <v>45427</v>
      </c>
      <c r="R2" s="106">
        <f t="shared" si="0"/>
        <v>45428</v>
      </c>
      <c r="S2" s="106">
        <f t="shared" si="0"/>
        <v>45429</v>
      </c>
      <c r="T2" s="106">
        <f t="shared" si="0"/>
        <v>45430</v>
      </c>
      <c r="U2" s="106">
        <f t="shared" si="0"/>
        <v>45431</v>
      </c>
      <c r="V2" s="106">
        <f t="shared" si="0"/>
        <v>45432</v>
      </c>
      <c r="W2" s="106">
        <f t="shared" si="0"/>
        <v>45433</v>
      </c>
      <c r="X2" s="106">
        <f t="shared" si="0"/>
        <v>45434</v>
      </c>
      <c r="Y2" s="106">
        <f t="shared" si="0"/>
        <v>45435</v>
      </c>
      <c r="Z2" s="106">
        <f t="shared" si="0"/>
        <v>45436</v>
      </c>
      <c r="AA2" s="106">
        <f t="shared" si="0"/>
        <v>45437</v>
      </c>
      <c r="AB2" s="106">
        <f t="shared" si="0"/>
        <v>45438</v>
      </c>
      <c r="AC2" s="106">
        <f t="shared" si="0"/>
        <v>45439</v>
      </c>
      <c r="AD2" s="106">
        <f t="shared" si="0"/>
        <v>45440</v>
      </c>
      <c r="AE2" s="106">
        <f t="shared" si="0"/>
        <v>45441</v>
      </c>
      <c r="AF2" s="106">
        <f t="shared" si="0"/>
        <v>45442</v>
      </c>
      <c r="AG2" s="106">
        <f t="shared" si="0"/>
        <v>45443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8.0299999999999994</v>
      </c>
      <c r="D3" s="185">
        <v>1.66</v>
      </c>
      <c r="E3" s="185">
        <v>5.0999999999999996</v>
      </c>
      <c r="F3" s="185">
        <v>6.1</v>
      </c>
      <c r="G3" s="185">
        <v>2.17</v>
      </c>
      <c r="H3" s="185">
        <v>4.6500000000000004</v>
      </c>
      <c r="I3" s="185">
        <v>10</v>
      </c>
      <c r="J3" s="185">
        <v>5.29</v>
      </c>
      <c r="K3" s="185">
        <v>4.6500000000000004</v>
      </c>
      <c r="L3" s="185">
        <v>6.92</v>
      </c>
      <c r="M3" s="185">
        <v>1.31</v>
      </c>
      <c r="N3" s="185">
        <v>14.71</v>
      </c>
      <c r="O3" s="185">
        <v>0.09</v>
      </c>
      <c r="P3" s="185">
        <v>8.75</v>
      </c>
      <c r="Q3" s="185">
        <v>16.260000000000002</v>
      </c>
      <c r="R3" s="185">
        <v>6.03</v>
      </c>
      <c r="S3" s="185">
        <v>3.77</v>
      </c>
      <c r="T3" s="185">
        <v>3.17</v>
      </c>
      <c r="U3" s="185">
        <v>6.18</v>
      </c>
      <c r="V3" s="185">
        <v>7.56</v>
      </c>
      <c r="W3" s="185">
        <v>9.35</v>
      </c>
      <c r="X3" s="185">
        <v>2.65</v>
      </c>
      <c r="Y3" s="185">
        <v>5.5</v>
      </c>
      <c r="Z3" s="185">
        <v>3.11</v>
      </c>
      <c r="AA3" s="185">
        <v>10.36</v>
      </c>
      <c r="AB3" s="185">
        <v>14.85</v>
      </c>
      <c r="AC3" s="185">
        <v>3.6</v>
      </c>
      <c r="AD3" s="185">
        <v>6.69</v>
      </c>
      <c r="AE3" s="185">
        <v>7.67</v>
      </c>
      <c r="AF3" s="185">
        <v>29.55</v>
      </c>
      <c r="AG3" s="185"/>
      <c r="AH3" s="108">
        <f>SUM(C3:AG3)</f>
        <v>215.73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>
        <v>84.97</v>
      </c>
      <c r="D4" s="72">
        <v>17.5</v>
      </c>
      <c r="E4" s="71">
        <v>54</v>
      </c>
      <c r="F4" s="71">
        <v>64.5</v>
      </c>
      <c r="G4" s="71">
        <v>23</v>
      </c>
      <c r="H4" s="71">
        <v>49</v>
      </c>
      <c r="I4" s="71">
        <v>105.83</v>
      </c>
      <c r="J4" s="71">
        <v>55.93</v>
      </c>
      <c r="K4" s="71">
        <v>49</v>
      </c>
      <c r="L4" s="71">
        <v>73</v>
      </c>
      <c r="M4" s="71">
        <v>14</v>
      </c>
      <c r="N4" s="71">
        <v>155.94999999999999</v>
      </c>
      <c r="O4" s="71">
        <v>1</v>
      </c>
      <c r="P4" s="71">
        <v>92.44</v>
      </c>
      <c r="Q4" s="71">
        <v>172</v>
      </c>
      <c r="R4" s="71">
        <v>63.5</v>
      </c>
      <c r="S4" s="71">
        <v>39.950000000000003</v>
      </c>
      <c r="T4" s="71">
        <v>33.49</v>
      </c>
      <c r="U4" s="71">
        <v>65.45</v>
      </c>
      <c r="V4" s="71">
        <v>79.98</v>
      </c>
      <c r="W4" s="71">
        <v>98.98</v>
      </c>
      <c r="X4" s="71">
        <v>28</v>
      </c>
      <c r="Y4" s="71">
        <v>58</v>
      </c>
      <c r="Z4" s="71">
        <v>32.99</v>
      </c>
      <c r="AA4" s="71">
        <v>109.43</v>
      </c>
      <c r="AB4" s="71">
        <v>156.96</v>
      </c>
      <c r="AC4" s="71">
        <v>38</v>
      </c>
      <c r="AD4" s="71">
        <v>70.48</v>
      </c>
      <c r="AE4" s="71">
        <v>81</v>
      </c>
      <c r="AF4" s="71">
        <v>312.77</v>
      </c>
      <c r="AG4" s="71"/>
      <c r="AH4" s="108">
        <f t="shared" ref="AH4:AH6" si="1">SUM(C4:AG4)</f>
        <v>2281.1000000000004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234</v>
      </c>
      <c r="C5" s="68"/>
      <c r="D5" s="185"/>
      <c r="E5" s="68"/>
      <c r="F5" s="68">
        <v>27</v>
      </c>
      <c r="G5" s="68"/>
      <c r="H5" s="68">
        <v>25</v>
      </c>
      <c r="I5" s="68">
        <v>1</v>
      </c>
      <c r="J5" s="68"/>
      <c r="K5" s="68"/>
      <c r="L5" s="68"/>
      <c r="M5" s="68"/>
      <c r="N5" s="68">
        <v>1</v>
      </c>
      <c r="O5" s="68">
        <v>1</v>
      </c>
      <c r="P5" s="68"/>
      <c r="Q5" s="68"/>
      <c r="R5" s="68"/>
      <c r="S5" s="68"/>
      <c r="T5" s="68">
        <v>1</v>
      </c>
      <c r="U5" s="68"/>
      <c r="V5" s="68"/>
      <c r="W5" s="68"/>
      <c r="X5" s="68"/>
      <c r="Y5" s="68">
        <v>25</v>
      </c>
      <c r="Z5" s="68"/>
      <c r="AA5" s="68">
        <v>3</v>
      </c>
      <c r="AB5" s="68">
        <v>1</v>
      </c>
      <c r="AC5" s="68"/>
      <c r="AD5" s="68"/>
      <c r="AE5" s="68"/>
      <c r="AF5" s="68">
        <v>3</v>
      </c>
      <c r="AG5" s="68"/>
      <c r="AH5" s="108">
        <f t="shared" si="1"/>
        <v>88</v>
      </c>
      <c r="AJ5" s="66" t="s">
        <v>210</v>
      </c>
      <c r="AK5" s="67" t="s">
        <v>234</v>
      </c>
      <c r="AL5" s="210"/>
      <c r="AM5" s="210"/>
    </row>
    <row r="6" spans="1:40" ht="16.5" thickBot="1" x14ac:dyDescent="0.3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>
        <v>75.75</v>
      </c>
      <c r="AG6" s="68">
        <v>50.5</v>
      </c>
      <c r="AH6" s="108">
        <f t="shared" si="1"/>
        <v>126.25</v>
      </c>
      <c r="AJ6" s="66" t="s">
        <v>210</v>
      </c>
      <c r="AK6" s="67" t="s">
        <v>233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2">SUM(C3:C6)</f>
        <v>93</v>
      </c>
      <c r="D7" s="107">
        <f t="shared" si="2"/>
        <v>19.16</v>
      </c>
      <c r="E7" s="107">
        <f t="shared" si="2"/>
        <v>59.1</v>
      </c>
      <c r="F7" s="107">
        <f t="shared" si="2"/>
        <v>97.6</v>
      </c>
      <c r="G7" s="107">
        <f t="shared" si="2"/>
        <v>25.17</v>
      </c>
      <c r="H7" s="107">
        <f t="shared" si="2"/>
        <v>78.650000000000006</v>
      </c>
      <c r="I7" s="107">
        <f t="shared" si="2"/>
        <v>116.83</v>
      </c>
      <c r="J7" s="107">
        <f t="shared" si="2"/>
        <v>61.22</v>
      </c>
      <c r="K7" s="107">
        <f t="shared" si="2"/>
        <v>53.65</v>
      </c>
      <c r="L7" s="107">
        <f t="shared" si="2"/>
        <v>79.92</v>
      </c>
      <c r="M7" s="107">
        <f t="shared" si="2"/>
        <v>15.31</v>
      </c>
      <c r="N7" s="107">
        <f t="shared" si="2"/>
        <v>171.66</v>
      </c>
      <c r="O7" s="107">
        <f t="shared" si="2"/>
        <v>2.09</v>
      </c>
      <c r="P7" s="107">
        <f t="shared" si="2"/>
        <v>101.19</v>
      </c>
      <c r="Q7" s="107">
        <f t="shared" si="2"/>
        <v>188.26</v>
      </c>
      <c r="R7" s="107">
        <f t="shared" si="2"/>
        <v>69.53</v>
      </c>
      <c r="S7" s="107">
        <f t="shared" si="2"/>
        <v>43.720000000000006</v>
      </c>
      <c r="T7" s="107">
        <f t="shared" si="2"/>
        <v>37.660000000000004</v>
      </c>
      <c r="U7" s="107">
        <f t="shared" si="2"/>
        <v>71.63</v>
      </c>
      <c r="V7" s="107">
        <f t="shared" si="2"/>
        <v>87.54</v>
      </c>
      <c r="W7" s="107">
        <f t="shared" si="2"/>
        <v>108.33</v>
      </c>
      <c r="X7" s="107">
        <f t="shared" si="2"/>
        <v>30.65</v>
      </c>
      <c r="Y7" s="107">
        <f t="shared" si="2"/>
        <v>88.5</v>
      </c>
      <c r="Z7" s="107">
        <f t="shared" si="2"/>
        <v>36.1</v>
      </c>
      <c r="AA7" s="107">
        <f t="shared" si="2"/>
        <v>122.79</v>
      </c>
      <c r="AB7" s="107">
        <f t="shared" si="2"/>
        <v>172.81</v>
      </c>
      <c r="AC7" s="107">
        <f t="shared" si="2"/>
        <v>41.6</v>
      </c>
      <c r="AD7" s="107">
        <f t="shared" si="2"/>
        <v>77.17</v>
      </c>
      <c r="AE7" s="107">
        <f t="shared" si="2"/>
        <v>88.67</v>
      </c>
      <c r="AF7" s="107">
        <f t="shared" si="2"/>
        <v>421.07</v>
      </c>
      <c r="AG7" s="107">
        <f t="shared" si="2"/>
        <v>50.5</v>
      </c>
      <c r="AH7" s="109">
        <f>SUM(C3:AG6)</f>
        <v>2711.08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2">
        <v>6</v>
      </c>
      <c r="D9" s="392">
        <v>19.16</v>
      </c>
      <c r="E9" s="392">
        <v>13.13</v>
      </c>
      <c r="F9" s="392">
        <v>15.13</v>
      </c>
      <c r="G9" s="392">
        <v>12.04</v>
      </c>
      <c r="H9" s="392">
        <v>35.58</v>
      </c>
      <c r="I9" s="392">
        <v>36.020000000000003</v>
      </c>
      <c r="J9" s="392">
        <v>13.14</v>
      </c>
      <c r="K9" s="392">
        <v>32.840000000000003</v>
      </c>
      <c r="L9" s="392">
        <v>37.22</v>
      </c>
      <c r="M9" s="392">
        <v>15.31</v>
      </c>
      <c r="N9" s="392">
        <v>111.5</v>
      </c>
      <c r="O9" s="392">
        <v>2.09</v>
      </c>
      <c r="P9" s="392">
        <v>22.43</v>
      </c>
      <c r="Q9" s="392"/>
      <c r="R9" s="392">
        <v>24.64</v>
      </c>
      <c r="S9" s="392">
        <v>21.83</v>
      </c>
      <c r="T9" s="392">
        <v>7.57</v>
      </c>
      <c r="U9" s="392">
        <v>42.09</v>
      </c>
      <c r="V9" s="392">
        <v>20.8</v>
      </c>
      <c r="W9" s="392"/>
      <c r="X9" s="392">
        <v>2.19</v>
      </c>
      <c r="Y9" s="392">
        <v>4.93</v>
      </c>
      <c r="Z9" s="393"/>
      <c r="AA9" s="393">
        <v>19.5</v>
      </c>
      <c r="AB9" s="393">
        <v>2.74</v>
      </c>
      <c r="AC9" s="393"/>
      <c r="AD9" s="393">
        <v>29.56</v>
      </c>
      <c r="AE9" s="393">
        <v>50.9</v>
      </c>
      <c r="AF9" s="393">
        <v>125.23</v>
      </c>
      <c r="AG9" s="393"/>
      <c r="AH9" s="110">
        <f>SUM(C9:AG9)</f>
        <v>723.56999999999982</v>
      </c>
      <c r="AJ9" s="137" t="s">
        <v>60</v>
      </c>
      <c r="AK9" s="138" t="s">
        <v>212</v>
      </c>
      <c r="AL9" s="386">
        <f>SUM(C9:Y9)</f>
        <v>495.63999999999993</v>
      </c>
      <c r="AM9" s="387">
        <f>SUM(Z9:AG9)</f>
        <v>227.93</v>
      </c>
    </row>
    <row r="10" spans="1:40" ht="16.5" thickBot="1" x14ac:dyDescent="0.3">
      <c r="A10" s="90" t="s">
        <v>60</v>
      </c>
      <c r="B10" s="91" t="s">
        <v>55</v>
      </c>
      <c r="C10" s="389">
        <v>86.43</v>
      </c>
      <c r="D10" s="389"/>
      <c r="E10" s="389">
        <v>45.97</v>
      </c>
      <c r="F10" s="389">
        <v>82.47</v>
      </c>
      <c r="G10" s="389">
        <v>13.13</v>
      </c>
      <c r="H10" s="389">
        <v>43.07</v>
      </c>
      <c r="I10" s="389">
        <v>80.81</v>
      </c>
      <c r="J10" s="389">
        <v>48.08</v>
      </c>
      <c r="K10" s="389">
        <v>20.81</v>
      </c>
      <c r="L10" s="389">
        <v>42.7</v>
      </c>
      <c r="M10" s="389"/>
      <c r="N10" s="389">
        <v>60.16</v>
      </c>
      <c r="O10" s="389"/>
      <c r="P10" s="389">
        <v>78.760000000000005</v>
      </c>
      <c r="Q10" s="389">
        <v>188.26</v>
      </c>
      <c r="R10" s="389">
        <v>44.89</v>
      </c>
      <c r="S10" s="389">
        <v>21.89</v>
      </c>
      <c r="T10" s="389">
        <v>30.09</v>
      </c>
      <c r="U10" s="389">
        <v>29.54</v>
      </c>
      <c r="V10" s="389">
        <v>66.739999999999995</v>
      </c>
      <c r="W10" s="389">
        <v>108.33</v>
      </c>
      <c r="X10" s="389">
        <v>28.46</v>
      </c>
      <c r="Y10" s="389">
        <v>83.57</v>
      </c>
      <c r="Z10" s="389">
        <v>36.1</v>
      </c>
      <c r="AA10" s="389">
        <v>103.29</v>
      </c>
      <c r="AB10" s="389">
        <v>170.07</v>
      </c>
      <c r="AC10" s="391">
        <v>41.6</v>
      </c>
      <c r="AD10" s="391">
        <v>47.61</v>
      </c>
      <c r="AE10" s="391">
        <v>37.770000000000003</v>
      </c>
      <c r="AF10" s="391">
        <v>295.83999999999997</v>
      </c>
      <c r="AG10" s="391">
        <v>50.5</v>
      </c>
      <c r="AH10" s="111">
        <f t="shared" ref="AH10" si="3">SUM(C10:AG10)</f>
        <v>1986.9399999999994</v>
      </c>
      <c r="AJ10" s="129" t="s">
        <v>60</v>
      </c>
      <c r="AK10" s="130" t="s">
        <v>213</v>
      </c>
      <c r="AL10" s="290">
        <f>SUM(C10:AB10)-AL15</f>
        <v>1466.4399999999996</v>
      </c>
      <c r="AM10" s="291">
        <f>SUM(AC10:AG10)-AM15</f>
        <v>458.55</v>
      </c>
    </row>
    <row r="11" spans="1:40" ht="16.5" thickBot="1" x14ac:dyDescent="0.3">
      <c r="A11" s="202"/>
      <c r="B11" s="193" t="s">
        <v>65</v>
      </c>
      <c r="C11" s="107">
        <f t="shared" ref="C11:AG11" si="4">SUM(C9:C10)</f>
        <v>92.43</v>
      </c>
      <c r="D11" s="107">
        <f t="shared" si="4"/>
        <v>19.16</v>
      </c>
      <c r="E11" s="107">
        <f t="shared" si="4"/>
        <v>59.1</v>
      </c>
      <c r="F11" s="107">
        <f t="shared" si="4"/>
        <v>97.6</v>
      </c>
      <c r="G11" s="107">
        <f t="shared" si="4"/>
        <v>25.17</v>
      </c>
      <c r="H11" s="107">
        <f t="shared" si="4"/>
        <v>78.650000000000006</v>
      </c>
      <c r="I11" s="107">
        <f t="shared" si="4"/>
        <v>116.83000000000001</v>
      </c>
      <c r="J11" s="107">
        <f t="shared" si="4"/>
        <v>61.22</v>
      </c>
      <c r="K11" s="107">
        <f t="shared" si="4"/>
        <v>53.650000000000006</v>
      </c>
      <c r="L11" s="107">
        <f t="shared" si="4"/>
        <v>79.92</v>
      </c>
      <c r="M11" s="107">
        <f t="shared" si="4"/>
        <v>15.31</v>
      </c>
      <c r="N11" s="107">
        <f t="shared" si="4"/>
        <v>171.66</v>
      </c>
      <c r="O11" s="107">
        <f t="shared" si="4"/>
        <v>2.09</v>
      </c>
      <c r="P11" s="107">
        <f t="shared" si="4"/>
        <v>101.19</v>
      </c>
      <c r="Q11" s="107">
        <f t="shared" si="4"/>
        <v>188.26</v>
      </c>
      <c r="R11" s="107">
        <f t="shared" si="4"/>
        <v>69.53</v>
      </c>
      <c r="S11" s="107">
        <f t="shared" si="4"/>
        <v>43.72</v>
      </c>
      <c r="T11" s="107">
        <f t="shared" si="4"/>
        <v>37.659999999999997</v>
      </c>
      <c r="U11" s="107">
        <f t="shared" si="4"/>
        <v>71.63</v>
      </c>
      <c r="V11" s="107">
        <f t="shared" si="4"/>
        <v>87.539999999999992</v>
      </c>
      <c r="W11" s="107">
        <f t="shared" si="4"/>
        <v>108.33</v>
      </c>
      <c r="X11" s="107">
        <f t="shared" si="4"/>
        <v>30.650000000000002</v>
      </c>
      <c r="Y11" s="107">
        <f t="shared" si="4"/>
        <v>88.5</v>
      </c>
      <c r="Z11" s="107">
        <f t="shared" si="4"/>
        <v>36.1</v>
      </c>
      <c r="AA11" s="107">
        <f t="shared" si="4"/>
        <v>122.79</v>
      </c>
      <c r="AB11" s="107">
        <f t="shared" si="4"/>
        <v>172.81</v>
      </c>
      <c r="AC11" s="107">
        <f t="shared" si="4"/>
        <v>41.6</v>
      </c>
      <c r="AD11" s="107">
        <f t="shared" si="4"/>
        <v>77.17</v>
      </c>
      <c r="AE11" s="107">
        <f t="shared" si="4"/>
        <v>88.67</v>
      </c>
      <c r="AF11" s="107">
        <f t="shared" si="4"/>
        <v>421.07</v>
      </c>
      <c r="AG11" s="107">
        <f t="shared" si="4"/>
        <v>50.5</v>
      </c>
      <c r="AH11" s="110">
        <f>SUM(C11:AG11)</f>
        <v>2710.51</v>
      </c>
      <c r="AI11" s="59"/>
      <c r="AJ11" s="503" t="s">
        <v>76</v>
      </c>
      <c r="AK11" s="504"/>
      <c r="AL11" s="505">
        <f>SUM(AL9:AM10)</f>
        <v>2648.5599999999995</v>
      </c>
      <c r="AM11" s="506"/>
      <c r="AN11" s="273">
        <f>AL11-(AH11+AL13-AL15-AM15)</f>
        <v>-0.5700000000010732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5">SUM(C3:C6)-SUM(C9:C10)</f>
        <v>0.56999999999999318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 t="shared" si="5"/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0.56999999999999318</v>
      </c>
      <c r="AI13" s="62"/>
      <c r="AJ13" s="463" t="s">
        <v>214</v>
      </c>
      <c r="AK13" s="212" t="s">
        <v>215</v>
      </c>
      <c r="AL13" s="271">
        <f>AH13</f>
        <v>0.56999999999999318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4"/>
      <c r="AK14" s="225"/>
      <c r="AL14" s="99"/>
      <c r="AM14" s="475">
        <f>AL11+AL13+AM13+AL15+AM15</f>
        <v>2711.0799999999995</v>
      </c>
      <c r="AN14" s="474">
        <f>AM14-AH7</f>
        <v>0</v>
      </c>
    </row>
    <row r="15" spans="1:40" s="99" customFormat="1" ht="16.5" thickBot="1" x14ac:dyDescent="0.3">
      <c r="A15" s="463" t="s">
        <v>216</v>
      </c>
      <c r="B15" s="101" t="s">
        <v>195</v>
      </c>
      <c r="C15" s="465">
        <v>2.7</v>
      </c>
      <c r="D15" s="465"/>
      <c r="E15" s="465">
        <v>1.43</v>
      </c>
      <c r="F15" s="465">
        <v>2.57</v>
      </c>
      <c r="G15" s="465">
        <v>0.41</v>
      </c>
      <c r="H15" s="465">
        <v>1.34</v>
      </c>
      <c r="I15" s="465">
        <v>2.52</v>
      </c>
      <c r="J15" s="465">
        <v>1.5</v>
      </c>
      <c r="K15" s="465">
        <v>0.65</v>
      </c>
      <c r="L15" s="465">
        <v>1.33</v>
      </c>
      <c r="M15" s="465"/>
      <c r="N15" s="465">
        <v>1.88</v>
      </c>
      <c r="O15" s="465"/>
      <c r="P15" s="465">
        <v>2.4500000000000002</v>
      </c>
      <c r="Q15" s="465">
        <v>5.87</v>
      </c>
      <c r="R15" s="465">
        <v>1.4</v>
      </c>
      <c r="S15" s="465">
        <v>0.68</v>
      </c>
      <c r="T15" s="465">
        <v>0.94</v>
      </c>
      <c r="U15" s="465">
        <v>0.92</v>
      </c>
      <c r="V15" s="465">
        <v>2.08</v>
      </c>
      <c r="W15" s="465">
        <v>3.37</v>
      </c>
      <c r="X15" s="465">
        <v>0.88</v>
      </c>
      <c r="Y15" s="465">
        <v>2.61</v>
      </c>
      <c r="Z15" s="465">
        <v>1.1299999999999999</v>
      </c>
      <c r="AA15" s="465">
        <v>3.22</v>
      </c>
      <c r="AB15" s="465">
        <v>5.3</v>
      </c>
      <c r="AC15" s="480">
        <v>1.3</v>
      </c>
      <c r="AD15" s="480">
        <v>1.49</v>
      </c>
      <c r="AE15" s="480">
        <v>1.17</v>
      </c>
      <c r="AF15" s="480">
        <v>9.23</v>
      </c>
      <c r="AG15" s="481">
        <v>1.58</v>
      </c>
      <c r="AH15" s="466">
        <f t="shared" ref="AH15" si="6">SUM(C15:AG15)</f>
        <v>61.95</v>
      </c>
      <c r="AI15" s="62"/>
      <c r="AJ15" s="463" t="s">
        <v>216</v>
      </c>
      <c r="AK15" s="212" t="s">
        <v>197</v>
      </c>
      <c r="AL15" s="271">
        <f>SUM(C15:AB15)</f>
        <v>47.18</v>
      </c>
      <c r="AM15" s="272">
        <f>SUM(AC15:AG15)</f>
        <v>14.770000000000001</v>
      </c>
      <c r="AN15" s="274"/>
    </row>
    <row r="16" spans="1:40" s="102" customFormat="1" x14ac:dyDescent="0.25">
      <c r="A16" s="224"/>
      <c r="B16" s="225" t="s">
        <v>232</v>
      </c>
      <c r="C16" s="479">
        <f>C10-C15</f>
        <v>83.73</v>
      </c>
      <c r="D16" s="479">
        <f t="shared" ref="D16:AG16" si="7">D10-D15</f>
        <v>0</v>
      </c>
      <c r="E16" s="479">
        <f t="shared" si="7"/>
        <v>44.54</v>
      </c>
      <c r="F16" s="479">
        <f t="shared" si="7"/>
        <v>79.900000000000006</v>
      </c>
      <c r="G16" s="479">
        <f t="shared" si="7"/>
        <v>12.72</v>
      </c>
      <c r="H16" s="479">
        <f t="shared" si="7"/>
        <v>41.73</v>
      </c>
      <c r="I16" s="479">
        <f t="shared" si="7"/>
        <v>78.290000000000006</v>
      </c>
      <c r="J16" s="479">
        <f t="shared" si="7"/>
        <v>46.58</v>
      </c>
      <c r="K16" s="479">
        <f t="shared" si="7"/>
        <v>20.16</v>
      </c>
      <c r="L16" s="479">
        <f t="shared" si="7"/>
        <v>41.370000000000005</v>
      </c>
      <c r="M16" s="479">
        <f t="shared" si="7"/>
        <v>0</v>
      </c>
      <c r="N16" s="479">
        <f t="shared" si="7"/>
        <v>58.279999999999994</v>
      </c>
      <c r="O16" s="479">
        <f t="shared" si="7"/>
        <v>0</v>
      </c>
      <c r="P16" s="479">
        <f t="shared" si="7"/>
        <v>76.31</v>
      </c>
      <c r="Q16" s="479">
        <f t="shared" si="7"/>
        <v>182.39</v>
      </c>
      <c r="R16" s="479">
        <f t="shared" si="7"/>
        <v>43.49</v>
      </c>
      <c r="S16" s="479">
        <f t="shared" si="7"/>
        <v>21.21</v>
      </c>
      <c r="T16" s="479">
        <f t="shared" si="7"/>
        <v>29.15</v>
      </c>
      <c r="U16" s="479">
        <f t="shared" si="7"/>
        <v>28.619999999999997</v>
      </c>
      <c r="V16" s="479">
        <f t="shared" si="7"/>
        <v>64.66</v>
      </c>
      <c r="W16" s="479">
        <f t="shared" si="7"/>
        <v>104.96</v>
      </c>
      <c r="X16" s="479">
        <f t="shared" si="7"/>
        <v>27.580000000000002</v>
      </c>
      <c r="Y16" s="479">
        <f t="shared" si="7"/>
        <v>80.959999999999994</v>
      </c>
      <c r="Z16" s="479">
        <f t="shared" si="7"/>
        <v>34.97</v>
      </c>
      <c r="AA16" s="479">
        <f t="shared" si="7"/>
        <v>100.07000000000001</v>
      </c>
      <c r="AB16" s="479">
        <f t="shared" si="7"/>
        <v>164.76999999999998</v>
      </c>
      <c r="AC16" s="479">
        <f t="shared" si="7"/>
        <v>40.300000000000004</v>
      </c>
      <c r="AD16" s="479">
        <f t="shared" si="7"/>
        <v>46.12</v>
      </c>
      <c r="AE16" s="479">
        <f t="shared" si="7"/>
        <v>36.6</v>
      </c>
      <c r="AF16" s="479">
        <f t="shared" si="7"/>
        <v>286.60999999999996</v>
      </c>
      <c r="AG16" s="479">
        <f t="shared" si="7"/>
        <v>48.92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O33" sqref="O33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May  2024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1" t="s">
        <v>181</v>
      </c>
      <c r="B3" s="522"/>
      <c r="C3" s="523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162265.79999999999</v>
      </c>
      <c r="D4" s="527"/>
      <c r="E4" s="528"/>
      <c r="F4" s="528"/>
    </row>
    <row r="5" spans="1:6" ht="14.1" customHeight="1" x14ac:dyDescent="0.25">
      <c r="A5" s="90" t="s">
        <v>173</v>
      </c>
      <c r="B5" s="91" t="s">
        <v>63</v>
      </c>
      <c r="C5" s="187">
        <f>Pool!AH9</f>
        <v>3311</v>
      </c>
      <c r="D5" s="526"/>
      <c r="E5" s="520"/>
      <c r="F5" s="520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89905.5</v>
      </c>
      <c r="D6" s="529"/>
      <c r="E6" s="530"/>
      <c r="F6" s="530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6"/>
      <c r="E7" s="520"/>
      <c r="F7" s="520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6"/>
      <c r="E8" s="520"/>
      <c r="F8" s="520"/>
    </row>
    <row r="9" spans="1:6" ht="14.1" customHeight="1" x14ac:dyDescent="0.25">
      <c r="A9" s="90" t="s">
        <v>34</v>
      </c>
      <c r="B9" s="91" t="s">
        <v>35</v>
      </c>
      <c r="C9" s="187">
        <f>Pool!AH14</f>
        <v>1260</v>
      </c>
      <c r="D9" s="526"/>
      <c r="E9" s="520"/>
      <c r="F9" s="520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12828.64</v>
      </c>
      <c r="D10" s="526"/>
      <c r="E10" s="520"/>
      <c r="F10" s="520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6"/>
      <c r="E11" s="520"/>
      <c r="F11" s="520"/>
    </row>
    <row r="12" spans="1:6" ht="14.1" customHeight="1" x14ac:dyDescent="0.25">
      <c r="A12" s="90" t="s">
        <v>77</v>
      </c>
      <c r="B12" s="91" t="s">
        <v>193</v>
      </c>
      <c r="C12" s="187">
        <f>Pool!AH18</f>
        <v>4095.5</v>
      </c>
      <c r="D12" s="526"/>
      <c r="E12" s="520"/>
      <c r="F12" s="520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6"/>
      <c r="E13" s="520"/>
      <c r="F13" s="520"/>
    </row>
    <row r="14" spans="1:6" ht="14.1" customHeight="1" x14ac:dyDescent="0.25">
      <c r="A14" s="90" t="s">
        <v>40</v>
      </c>
      <c r="B14" s="91" t="s">
        <v>228</v>
      </c>
      <c r="C14" s="187">
        <f>Pool!AH20</f>
        <v>1080</v>
      </c>
      <c r="D14" s="526"/>
      <c r="E14" s="520"/>
      <c r="F14" s="520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6"/>
      <c r="E15" s="520"/>
      <c r="F15" s="520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26"/>
      <c r="E16" s="520"/>
      <c r="F16" s="520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6"/>
      <c r="E17" s="520"/>
      <c r="F17" s="520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6"/>
      <c r="E18" s="520"/>
      <c r="F18" s="520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6"/>
      <c r="E19" s="520"/>
      <c r="F19" s="520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6"/>
      <c r="E20" s="520"/>
      <c r="F20" s="520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6"/>
      <c r="E21" s="520"/>
      <c r="F21" s="520"/>
    </row>
    <row r="22" spans="1:7" ht="14.1" customHeight="1" x14ac:dyDescent="0.25">
      <c r="A22" s="189"/>
      <c r="B22" s="207" t="s">
        <v>64</v>
      </c>
      <c r="C22" s="470">
        <f>C4+C5+C6+C7+C8+C9+C10+C11+C12+C15+C14</f>
        <v>274746.44</v>
      </c>
      <c r="D22" s="520" t="s">
        <v>171</v>
      </c>
      <c r="E22" s="520"/>
      <c r="F22" s="520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1" t="s">
        <v>174</v>
      </c>
      <c r="B24" s="522"/>
      <c r="C24" s="523"/>
    </row>
    <row r="25" spans="1:7" ht="14.1" customHeight="1" x14ac:dyDescent="0.25">
      <c r="A25" s="126" t="s">
        <v>61</v>
      </c>
      <c r="B25" s="394" t="s">
        <v>62</v>
      </c>
      <c r="C25" s="395">
        <f>Pool!AH3</f>
        <v>1214.73</v>
      </c>
      <c r="D25" s="526"/>
      <c r="E25" s="520"/>
      <c r="F25" s="520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6" t="s">
        <v>179</v>
      </c>
      <c r="E26" s="520"/>
      <c r="F26" s="520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6" t="s">
        <v>169</v>
      </c>
      <c r="E27" s="520"/>
      <c r="F27" s="520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6" t="s">
        <v>170</v>
      </c>
      <c r="E28" s="520"/>
      <c r="F28" s="520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132</v>
      </c>
      <c r="D29" s="526" t="s">
        <v>175</v>
      </c>
      <c r="E29" s="520"/>
      <c r="F29" s="520"/>
    </row>
    <row r="30" spans="1:7" ht="14.1" customHeight="1" x14ac:dyDescent="0.25">
      <c r="A30" s="116"/>
      <c r="B30" s="400" t="s">
        <v>176</v>
      </c>
      <c r="C30" s="401">
        <f>SUM(C25:C29)</f>
        <v>1346.73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276093.17</v>
      </c>
      <c r="D32" s="520" t="s">
        <v>178</v>
      </c>
      <c r="E32" s="520"/>
      <c r="F32" s="520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1" t="s">
        <v>180</v>
      </c>
      <c r="B34" s="522"/>
      <c r="C34" s="523"/>
    </row>
    <row r="35" spans="1:6" ht="14.1" customHeight="1" x14ac:dyDescent="0.25">
      <c r="A35" s="126" t="s">
        <v>60</v>
      </c>
      <c r="B35" s="127" t="s">
        <v>86</v>
      </c>
      <c r="C35" s="157">
        <f>Pool!AL33</f>
        <v>87530.240000000005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1756.6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134810.31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45796.55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5871.34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-89.869999999998527</v>
      </c>
      <c r="D42" s="524"/>
      <c r="E42" s="525"/>
      <c r="F42" s="525"/>
    </row>
    <row r="43" spans="1:6" ht="14.1" customHeight="1" x14ac:dyDescent="0.25">
      <c r="A43" s="361" t="s">
        <v>67</v>
      </c>
      <c r="B43" s="362" t="s">
        <v>91</v>
      </c>
      <c r="C43" s="379">
        <f>Pool!AL37</f>
        <v>360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58</v>
      </c>
    </row>
    <row r="45" spans="1:6" ht="12.75" customHeight="1" x14ac:dyDescent="0.25">
      <c r="A45" s="205"/>
      <c r="B45" s="208" t="s">
        <v>65</v>
      </c>
      <c r="C45" s="209">
        <f>SUM(C35:C44)</f>
        <v>276093.17000000004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9272</v>
      </c>
    </row>
    <row r="48" spans="1:6" ht="14.1" customHeight="1" x14ac:dyDescent="0.25">
      <c r="B48" s="129" t="s">
        <v>58</v>
      </c>
      <c r="C48" s="237">
        <f>Pool!AJ48</f>
        <v>1929</v>
      </c>
    </row>
    <row r="49" spans="1:5" ht="14.1" customHeight="1" thickBot="1" x14ac:dyDescent="0.3">
      <c r="B49" s="238" t="s">
        <v>106</v>
      </c>
      <c r="C49" s="239">
        <f>C47+C48</f>
        <v>11201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17.489682928134229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99.88</v>
      </c>
    </row>
    <row r="55" spans="1:5" ht="14.1" customHeight="1" x14ac:dyDescent="0.25">
      <c r="A55" s="264"/>
      <c r="B55" s="312" t="s">
        <v>134</v>
      </c>
      <c r="C55" s="313">
        <f>Pool!AJ58</f>
        <v>82.347826086956516</v>
      </c>
    </row>
    <row r="56" spans="1:5" ht="14.1" customHeight="1" x14ac:dyDescent="0.25">
      <c r="B56" s="312" t="s">
        <v>136</v>
      </c>
      <c r="C56" s="313">
        <f>Pool!AJ59</f>
        <v>77.291666666666671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3" sqref="G23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May  2024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509.78999999999996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51247.5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690.08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5368.7699999999995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6.36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54.960000000000264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57877.46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15669.400000000001</v>
      </c>
    </row>
    <row r="14" spans="1:5" x14ac:dyDescent="0.25">
      <c r="A14" s="129" t="s">
        <v>60</v>
      </c>
      <c r="B14" s="130" t="s">
        <v>94</v>
      </c>
      <c r="C14" s="131">
        <f>'Box Canon'!AM20</f>
        <v>1889.02</v>
      </c>
    </row>
    <row r="15" spans="1:5" x14ac:dyDescent="0.25">
      <c r="A15" s="129" t="s">
        <v>60</v>
      </c>
      <c r="B15" s="130" t="s">
        <v>93</v>
      </c>
      <c r="C15" s="131">
        <f>'Box Canon'!AL21</f>
        <v>28219.760000000006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10839.34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1259.94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57877.460000000006</v>
      </c>
    </row>
    <row r="23" spans="1:4" ht="15.75" thickBot="1" x14ac:dyDescent="0.3"/>
    <row r="24" spans="1:4" x14ac:dyDescent="0.25">
      <c r="B24" s="531" t="s">
        <v>57</v>
      </c>
      <c r="C24" s="532"/>
    </row>
    <row r="25" spans="1:4" x14ac:dyDescent="0.25">
      <c r="B25" s="143" t="s">
        <v>75</v>
      </c>
      <c r="C25" s="145">
        <f>'Box Canon'!AJ32</f>
        <v>5317</v>
      </c>
    </row>
    <row r="26" spans="1:4" x14ac:dyDescent="0.25">
      <c r="B26" s="143" t="s">
        <v>74</v>
      </c>
      <c r="C26" s="145">
        <f>'Box Canon'!AJ33</f>
        <v>1280</v>
      </c>
    </row>
    <row r="27" spans="1:4" x14ac:dyDescent="0.25">
      <c r="B27" s="143" t="s">
        <v>199</v>
      </c>
      <c r="C27" s="145">
        <f>'Box Canon'!AJ34</f>
        <v>136</v>
      </c>
    </row>
    <row r="28" spans="1:4" x14ac:dyDescent="0.25">
      <c r="B28" s="143" t="s">
        <v>72</v>
      </c>
      <c r="C28" s="145">
        <f>'Box Canon'!AJ35</f>
        <v>47</v>
      </c>
    </row>
    <row r="29" spans="1:4" x14ac:dyDescent="0.25">
      <c r="B29" s="143" t="s">
        <v>73</v>
      </c>
      <c r="C29" s="145">
        <f>'Box Canon'!AJ36</f>
        <v>1235</v>
      </c>
    </row>
    <row r="30" spans="1:4" x14ac:dyDescent="0.25">
      <c r="B30" s="143" t="s">
        <v>71</v>
      </c>
      <c r="C30" s="145">
        <f>'Box Canon'!AJ37</f>
        <v>254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8269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R9" sqref="R9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May 2024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215.73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2281.1000000000004</v>
      </c>
      <c r="D4" s="116"/>
    </row>
    <row r="5" spans="1:5" x14ac:dyDescent="0.25">
      <c r="A5" s="252" t="s">
        <v>210</v>
      </c>
      <c r="B5" s="253" t="s">
        <v>234</v>
      </c>
      <c r="C5" s="131">
        <f>'Visitor Center'!AH5</f>
        <v>88</v>
      </c>
      <c r="D5" s="116"/>
    </row>
    <row r="6" spans="1:5" x14ac:dyDescent="0.25">
      <c r="A6" s="252" t="s">
        <v>210</v>
      </c>
      <c r="B6" s="253" t="s">
        <v>233</v>
      </c>
      <c r="C6" s="131">
        <f>'Visitor Center'!AH6</f>
        <v>126.25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-0.56999999999999318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2710.51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495.63999999999993</v>
      </c>
    </row>
    <row r="12" spans="1:5" x14ac:dyDescent="0.25">
      <c r="A12" s="129" t="s">
        <v>60</v>
      </c>
      <c r="B12" s="130" t="s">
        <v>219</v>
      </c>
      <c r="C12" s="131">
        <f>'Visitor Center'!AM9</f>
        <v>227.93</v>
      </c>
    </row>
    <row r="13" spans="1:5" x14ac:dyDescent="0.25">
      <c r="A13" s="129" t="s">
        <v>60</v>
      </c>
      <c r="B13" s="130" t="s">
        <v>220</v>
      </c>
      <c r="C13" s="131">
        <f>'Visitor Center'!AL10</f>
        <v>1466.4399999999996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458.55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61.95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2710.5099999999993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2024-06-10T16:14:56Z</cp:lastPrinted>
  <dcterms:created xsi:type="dcterms:W3CDTF">2017-08-14T15:26:56Z</dcterms:created>
  <dcterms:modified xsi:type="dcterms:W3CDTF">2024-07-01T18:55:15Z</dcterms:modified>
</cp:coreProperties>
</file>