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ash Flow"/>
    <sheet r:id="rId2" sheetId="2" name="Pool"/>
    <sheet r:id="rId3" sheetId="3" name="Pool Stats"/>
    <sheet r:id="rId4" sheetId="4" name="Box Canon"/>
    <sheet r:id="rId5" sheetId="5" name="Visitor Center"/>
    <sheet r:id="rId6" sheetId="6" name="POOL JE"/>
    <sheet r:id="rId7" sheetId="7" name="Box Cañon JE"/>
    <sheet r:id="rId8" sheetId="8" name="Visitor Center JE"/>
  </sheets>
  <definedNames>
    <definedName name="_xlnm.Print_Area" localSheetId="3">'Box Canon'!$A$2:$AH$46</definedName>
    <definedName name="_xlnm.Print_Area" localSheetId="6">'Box Cañon JE'!$A$1:$D$33</definedName>
    <definedName name="_xlnm.Print_Area" localSheetId="1">Pool!$A$1:$AH$54</definedName>
    <definedName name="_xlnm.Print_Area" localSheetId="5">'POOL JE'!$A$1:$C$57</definedName>
    <definedName name="_xlnm.Print_Area" localSheetId="4">'Visitor Center'!$A$1:$AH$16</definedName>
    <definedName name="_xlnm.Print_Area" localSheetId="7">'Visitor Center JE'!$A$1:$D$20</definedName>
  </definedNames>
  <calcPr fullCalcOnLoad="1"/>
</workbook>
</file>

<file path=xl/sharedStrings.xml><?xml version="1.0" encoding="utf-8"?>
<sst xmlns="http://schemas.openxmlformats.org/spreadsheetml/2006/main" count="622" uniqueCount="243">
  <si>
    <t>Visitor Center</t>
  </si>
  <si>
    <t>50-00-2020</t>
  </si>
  <si>
    <t>Visitor Center Sales Tax</t>
  </si>
  <si>
    <t>60-40-4020</t>
  </si>
  <si>
    <t>Visitor Center Merch</t>
  </si>
  <si>
    <t>Non-profit Passthrough Sales</t>
  </si>
  <si>
    <t>OHV Permits</t>
  </si>
  <si>
    <t>60-40-4031</t>
  </si>
  <si>
    <t>Visitor Center Over/Short</t>
  </si>
  <si>
    <t>Total Revenue</t>
  </si>
  <si>
    <t>01-00-1000</t>
  </si>
  <si>
    <t>Visitor Center Cash/Check Cleared</t>
  </si>
  <si>
    <t>Visitor Center Cash Outstanding</t>
  </si>
  <si>
    <t>Visitor Center Credit Card Cleared</t>
  </si>
  <si>
    <t>Visitor Center Credit Card Outstanding</t>
  </si>
  <si>
    <t>60-50-6150</t>
  </si>
  <si>
    <t>VC CC Processing Fees</t>
  </si>
  <si>
    <t>Total Payments</t>
  </si>
  <si>
    <t>Box Cañon</t>
  </si>
  <si>
    <t>Box Cañon Sales Tax</t>
  </si>
  <si>
    <t>50-41-4010</t>
  </si>
  <si>
    <t>Box Cañon Admissions</t>
  </si>
  <si>
    <t>50-41-4015</t>
  </si>
  <si>
    <t>Box Cañon Donations</t>
  </si>
  <si>
    <t>50-41-4020</t>
  </si>
  <si>
    <t>Box Cañon Concessions</t>
  </si>
  <si>
    <t>Stamps</t>
  </si>
  <si>
    <t>50-41-4031</t>
  </si>
  <si>
    <t>Box Cañon Over/Short</t>
  </si>
  <si>
    <t>Box Cañon Cash/Check Cleared</t>
  </si>
  <si>
    <t>Box Cañon Cash Outstanding</t>
  </si>
  <si>
    <t>Box Cañon Credit Card Cleared</t>
  </si>
  <si>
    <t>Box Cañon Credit Card Outstanding</t>
  </si>
  <si>
    <t>Box Cañon External CC Cleared</t>
  </si>
  <si>
    <t>Box Cañon External CC Outstanding</t>
  </si>
  <si>
    <t>50-51-6150</t>
  </si>
  <si>
    <t>BC CC Processing Fees</t>
  </si>
  <si>
    <t>Admissions/Covers</t>
  </si>
  <si>
    <t>Adult</t>
  </si>
  <si>
    <t>Child</t>
  </si>
  <si>
    <t>Child (3 and Under)</t>
  </si>
  <si>
    <t>Group</t>
  </si>
  <si>
    <t>Senior</t>
  </si>
  <si>
    <t>Military/Over 75</t>
  </si>
  <si>
    <t>TOTAL</t>
  </si>
  <si>
    <t xml:space="preserve">POOL </t>
  </si>
  <si>
    <t>Revenue Transactions</t>
  </si>
  <si>
    <t>50-40-4030</t>
  </si>
  <si>
    <t>Hot Springs Pool Admissions</t>
  </si>
  <si>
    <t>50-40-4035</t>
  </si>
  <si>
    <t>Slide Admissions</t>
  </si>
  <si>
    <t>50-40-4033</t>
  </si>
  <si>
    <t>Hot Springs Membership Revenue</t>
  </si>
  <si>
    <t>50-40-4034</t>
  </si>
  <si>
    <t>Facility Rental</t>
  </si>
  <si>
    <t>50-40-4350</t>
  </si>
  <si>
    <t xml:space="preserve">Other Revenue - Misc. </t>
  </si>
  <si>
    <t>50-40-4040</t>
  </si>
  <si>
    <t>Locker &amp; Misc. Rental</t>
  </si>
  <si>
    <t>50-40-4045</t>
  </si>
  <si>
    <t>Sales - Pool Merchandise</t>
  </si>
  <si>
    <t>10-45-4205</t>
  </si>
  <si>
    <t>Skate Rentals</t>
  </si>
  <si>
    <t>50-43-4010</t>
  </si>
  <si>
    <t>Gym Admission/Memberships</t>
  </si>
  <si>
    <t>50-40-4047</t>
  </si>
  <si>
    <t>Swim Team</t>
  </si>
  <si>
    <t>50-40-4048</t>
  </si>
  <si>
    <t>Swim Lesson Revenue</t>
  </si>
  <si>
    <t>50-40-4049</t>
  </si>
  <si>
    <t>Aquatic Classes</t>
  </si>
  <si>
    <t>50-40-4050</t>
  </si>
  <si>
    <t>Grants / Donations</t>
  </si>
  <si>
    <t>50-40-4051</t>
  </si>
  <si>
    <t>ATM Rent</t>
  </si>
  <si>
    <t>50-40-4052</t>
  </si>
  <si>
    <t>Massage Rent</t>
  </si>
  <si>
    <t>50-40-4053</t>
  </si>
  <si>
    <t>Swim Shop Rent</t>
  </si>
  <si>
    <t>50-40-4300</t>
  </si>
  <si>
    <t>Lifeguard &amp; Other Class</t>
  </si>
  <si>
    <t>50-40-4320</t>
  </si>
  <si>
    <t>Vending Machine Revenue</t>
  </si>
  <si>
    <t xml:space="preserve">Sold GC - Payment GC = Net Liability </t>
  </si>
  <si>
    <t xml:space="preserve">Liability Accounts </t>
  </si>
  <si>
    <t>Sales Tax Payable</t>
  </si>
  <si>
    <t>50-00-1206</t>
  </si>
  <si>
    <t>Customer Balance A/R</t>
  </si>
  <si>
    <t>Use the DIJ to post these individually</t>
  </si>
  <si>
    <t>50-00-2060</t>
  </si>
  <si>
    <t>Deferred Activity Revenue</t>
  </si>
  <si>
    <t>Prepay activity - recognize rev. when happens</t>
  </si>
  <si>
    <t>50-00-2061</t>
  </si>
  <si>
    <t>Deferred Facility Revenue</t>
  </si>
  <si>
    <t>Prepay Facility  - recognize rev. when happens</t>
  </si>
  <si>
    <t>50-00-2007</t>
  </si>
  <si>
    <t>Sold Gift Certificates</t>
  </si>
  <si>
    <t>Total Liability Transactions</t>
  </si>
  <si>
    <t>Total SOLD Transactions</t>
  </si>
  <si>
    <t>Total Revenue + Total Liability Transactions</t>
  </si>
  <si>
    <t>Payment Transactions</t>
  </si>
  <si>
    <t>Pool Cash/Check Cleared</t>
  </si>
  <si>
    <t>Pool Cash Outstanding</t>
  </si>
  <si>
    <t>Pool Credit Card Cleared</t>
  </si>
  <si>
    <t>Pool Credit Card Outstanding</t>
  </si>
  <si>
    <t>External CC Machine Cleared</t>
  </si>
  <si>
    <t>External CC Machine Outstanding</t>
  </si>
  <si>
    <t>50-50-6150</t>
  </si>
  <si>
    <t>CC Processing Fees</t>
  </si>
  <si>
    <t>50-40-4031</t>
  </si>
  <si>
    <t>Pool Over/Short</t>
  </si>
  <si>
    <t>50-50-6101</t>
  </si>
  <si>
    <t>Pool Promotions [Donations]</t>
  </si>
  <si>
    <t>Redeemed Gift Certificates</t>
  </si>
  <si>
    <t>Members</t>
  </si>
  <si>
    <t>Total Admissions</t>
  </si>
  <si>
    <r>
      <t xml:space="preserve">ADR Admission       </t>
    </r>
    <r>
      <rPr>
        <i/>
        <sz val="8"/>
        <color rgb="FF000000"/>
        <rFont val="Calibri"/>
        <family val="2"/>
        <scheme val="minor"/>
      </rPr>
      <t>(W/O Memberships)</t>
    </r>
  </si>
  <si>
    <t>Description</t>
  </si>
  <si>
    <t>EOM AVG.</t>
  </si>
  <si>
    <t>Hot Pool - Avg. Temp.</t>
  </si>
  <si>
    <t>Shallow - Avg. Temp</t>
  </si>
  <si>
    <t xml:space="preserve">Lap Lanes - Avg. Temp. </t>
  </si>
  <si>
    <t>Discount (Published) - Average</t>
  </si>
  <si>
    <t>Sun</t>
  </si>
  <si>
    <t>Mon</t>
  </si>
  <si>
    <t>Tue</t>
  </si>
  <si>
    <t>Wed</t>
  </si>
  <si>
    <t>Thu</t>
  </si>
  <si>
    <t>Fri</t>
  </si>
  <si>
    <t>Sat</t>
  </si>
  <si>
    <t>GL</t>
  </si>
  <si>
    <t>EOM TOTAL</t>
  </si>
  <si>
    <t>Cleared</t>
  </si>
  <si>
    <t>Outstanding</t>
  </si>
  <si>
    <t>Cash/Check</t>
  </si>
  <si>
    <t>Visitor Center Cash/Check</t>
  </si>
  <si>
    <t>Credit Card</t>
  </si>
  <si>
    <t>Visitor Center Credit Card less processing fees</t>
  </si>
  <si>
    <t>Over/Short</t>
  </si>
  <si>
    <t xml:space="preserve">Variance ? </t>
  </si>
  <si>
    <t>Processing Fees</t>
  </si>
  <si>
    <t>Deposit Total (credit card - processing fees)</t>
  </si>
  <si>
    <t>Sales Tax</t>
  </si>
  <si>
    <t>Donations</t>
  </si>
  <si>
    <t>Concessions</t>
  </si>
  <si>
    <t>AM Revenue</t>
  </si>
  <si>
    <t>PM Revenue</t>
  </si>
  <si>
    <t>Payment Posting Calculations</t>
  </si>
  <si>
    <t>AM Cash/Check</t>
  </si>
  <si>
    <t>PM Cash/Check</t>
  </si>
  <si>
    <t>AM Credit Card</t>
  </si>
  <si>
    <t>PM Credit Card</t>
  </si>
  <si>
    <t>Credit Card (less processing fees)</t>
  </si>
  <si>
    <t>AM External Credit Card</t>
  </si>
  <si>
    <t>External Credit Card</t>
  </si>
  <si>
    <t>PM External Credit Card</t>
  </si>
  <si>
    <t>Variance?</t>
  </si>
  <si>
    <t>AM Variance</t>
  </si>
  <si>
    <t>PM Variance</t>
  </si>
  <si>
    <t>Chil (3 and Under)</t>
  </si>
  <si>
    <t>AM Total</t>
  </si>
  <si>
    <t>PM total</t>
  </si>
  <si>
    <t>Pool Admissions</t>
  </si>
  <si>
    <t>Sales - Merchandise</t>
  </si>
  <si>
    <t>Gym Admission</t>
  </si>
  <si>
    <t>Swim Lessons</t>
  </si>
  <si>
    <t>Hot Pool</t>
  </si>
  <si>
    <t>Shallow Pool</t>
  </si>
  <si>
    <t>Lap Lanes</t>
  </si>
  <si>
    <t>Admissions</t>
  </si>
  <si>
    <t>*Admissions are calculated by</t>
  </si>
  <si>
    <t>Total Sales</t>
  </si>
  <si>
    <t>-</t>
  </si>
  <si>
    <t>Merchandise</t>
  </si>
  <si>
    <t>+</t>
  </si>
  <si>
    <t>POOL</t>
  </si>
  <si>
    <t>Swim Pool Admissions</t>
  </si>
  <si>
    <t>50-40-4032</t>
  </si>
  <si>
    <t>Admissions Discounts</t>
  </si>
  <si>
    <t>Pool Membership Pass Revenue</t>
  </si>
  <si>
    <t>Punch Pass Revenue</t>
  </si>
  <si>
    <t>Facility Rental Revenue</t>
  </si>
  <si>
    <t>Other Revenue and Misc.</t>
  </si>
  <si>
    <t>Other Revenue - Misc.</t>
  </si>
  <si>
    <t>Locker &amp; Misc. Rental (Showers)</t>
  </si>
  <si>
    <t>50-42-4005</t>
  </si>
  <si>
    <t>Discounted Employee Merchandise</t>
  </si>
  <si>
    <t xml:space="preserve">Aquatic Classes </t>
  </si>
  <si>
    <t>Unearned Payment Acct.  Gift Certificates</t>
  </si>
  <si>
    <t>GL Report Total</t>
  </si>
  <si>
    <r>
      <t xml:space="preserve">Variance </t>
    </r>
    <r>
      <rPr>
        <i/>
        <sz val="8"/>
        <color rgb="FF000000"/>
        <rFont val="Calibri"/>
        <family val="2"/>
        <scheme val="minor"/>
      </rPr>
      <t>(checking for data entry error)</t>
    </r>
  </si>
  <si>
    <t>Pool Cash/Check</t>
  </si>
  <si>
    <t>Pool Credit Card less processing fees</t>
  </si>
  <si>
    <t>External CC Machine</t>
  </si>
  <si>
    <t xml:space="preserve">External CC Machine </t>
  </si>
  <si>
    <t>CC Processor Adjustment (Server Errors)</t>
  </si>
  <si>
    <t xml:space="preserve">CC Processor Adjustments </t>
  </si>
  <si>
    <t>Promotions [Donations]</t>
  </si>
  <si>
    <t>Variance ?</t>
  </si>
  <si>
    <t>Unearned Payment Acct. Gift Certificates</t>
  </si>
  <si>
    <t>Total</t>
  </si>
  <si>
    <t>ADR</t>
  </si>
  <si>
    <t>Average Admission Rate</t>
  </si>
  <si>
    <t>ADR w/o Membership</t>
  </si>
  <si>
    <t>Average Admission Rate w/o members</t>
  </si>
  <si>
    <t>Pool Temps (Via Facebook)</t>
  </si>
  <si>
    <t>EOM AVG</t>
  </si>
  <si>
    <t>Shallow</t>
  </si>
  <si>
    <t>Published Discount</t>
  </si>
  <si>
    <t>Discount - Average</t>
  </si>
  <si>
    <t>CASH FLOW</t>
  </si>
  <si>
    <t>June</t>
  </si>
  <si>
    <t>DEPOSITS</t>
  </si>
  <si>
    <t>DISBURSEMENTS</t>
  </si>
  <si>
    <t>BALANCE</t>
  </si>
  <si>
    <t>Water</t>
  </si>
  <si>
    <t>LOT</t>
  </si>
  <si>
    <t>Pool</t>
  </si>
  <si>
    <t>BC</t>
  </si>
  <si>
    <t>Paymentech</t>
  </si>
  <si>
    <t>EFTs</t>
  </si>
  <si>
    <t>CR</t>
  </si>
  <si>
    <t>Memo Only</t>
  </si>
  <si>
    <t>Only</t>
  </si>
  <si>
    <t>CC Only</t>
  </si>
  <si>
    <t xml:space="preserve">EXT CC. </t>
  </si>
  <si>
    <t>Misc</t>
  </si>
  <si>
    <t>Other</t>
  </si>
  <si>
    <t>deposits only</t>
  </si>
  <si>
    <t>A/P</t>
  </si>
  <si>
    <t>P/R taxes</t>
  </si>
  <si>
    <t>P/R</t>
  </si>
  <si>
    <t>Bal.Fwd.</t>
  </si>
  <si>
    <t>EOM Adj</t>
  </si>
  <si>
    <t>A = Bank Fees</t>
  </si>
  <si>
    <t>Net AP</t>
  </si>
  <si>
    <t>Gross PR</t>
  </si>
  <si>
    <t>B = Cig Tax Distribution</t>
  </si>
  <si>
    <t>C = Sales Tax Distribution</t>
  </si>
  <si>
    <t>D = HUTF</t>
  </si>
  <si>
    <t>E = PaymentTech</t>
  </si>
  <si>
    <t>F = Express Billpay</t>
  </si>
  <si>
    <t>G = Police Vehicle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</si>
</sst>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%"/>
    <numFmt numFmtId="165" formatCode="mm/dd/yy"/>
    <numFmt numFmtId="166" formatCode="$#,##0.000_);($#,##0.000)"/>
  </numFmts>
  <fonts count="4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i/>
      <sz val="9"/>
      <color rgb="FF000000"/>
      <name val="Calibri"/>
      <family val="2"/>
    </font>
    <font>
      <i/>
      <sz val="11"/>
      <color rgb="FF000000"/>
      <name val="Calibri"/>
      <family val="2"/>
    </font>
    <font>
      <sz val="9"/>
      <color rgb="FF000000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8"/>
      <color theme="1"/>
      <name val="Calibri"/>
      <family val="2"/>
    </font>
    <font>
      <sz val="11"/>
      <color rgb="FF000000"/>
      <name val="Calibri"/>
      <family val="2"/>
    </font>
    <font>
      <i/>
      <sz val="8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sz val="10"/>
      <color rgb="FFff0000"/>
      <name val="Calibri"/>
      <family val="2"/>
    </font>
    <font>
      <i/>
      <sz val="10"/>
      <color rgb="FF000000"/>
      <name val="Calibri"/>
      <family val="2"/>
    </font>
    <font>
      <b/>
      <i/>
      <sz val="12"/>
      <color rgb="FF000000"/>
      <name val="Calibri"/>
      <family val="2"/>
    </font>
    <font>
      <sz val="10"/>
      <color theme="1"/>
      <name val="Arial"/>
      <family val="2"/>
    </font>
    <font>
      <i/>
      <sz val="7"/>
      <color theme="1"/>
      <name val="Calibri"/>
      <family val="2"/>
    </font>
    <font>
      <i/>
      <sz val="7"/>
      <color theme="1"/>
      <name val="Arial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  <font>
      <b/>
      <sz val="8"/>
      <color rgb="FF000000"/>
      <name val="Calibri"/>
      <family val="2"/>
    </font>
    <font>
      <i/>
      <sz val="10"/>
      <color theme="1"/>
      <name val="Calibri"/>
      <family val="2"/>
    </font>
    <font>
      <b/>
      <sz val="10"/>
      <color theme="1"/>
      <name val="Arial"/>
      <family val="2"/>
    </font>
    <font>
      <b/>
      <sz val="10"/>
      <color rgb="FF4472c4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sz val="10"/>
      <color rgb="FF4472c4"/>
      <name val="Arial"/>
      <family val="2"/>
    </font>
    <font>
      <b/>
      <i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993366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ffff99"/>
      </patternFill>
    </fill>
    <fill>
      <patternFill patternType="solid">
        <fgColor rgb="FFffff00"/>
      </patternFill>
    </fill>
  </fills>
  <borders count="10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dotted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dotted">
        <color rgb="FF000000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504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7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0" borderId="2" applyBorder="1" fontId="2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7" applyNumberFormat="1" borderId="4" applyBorder="1" fontId="2" applyFont="1" fillId="0" applyAlignment="1">
      <alignment horizontal="right"/>
    </xf>
    <xf xfId="0" numFmtId="0" borderId="5" applyBorder="1" fontId="2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7" applyNumberFormat="1" borderId="7" applyBorder="1" fontId="2" applyFont="1" fillId="0" applyAlignment="1">
      <alignment horizontal="right"/>
    </xf>
    <xf xfId="0" numFmtId="0" borderId="8" applyBorder="1" fontId="1" applyFont="1" fillId="0" applyAlignment="1">
      <alignment horizontal="left"/>
    </xf>
    <xf xfId="0" numFmtId="0" borderId="9" applyBorder="1" fontId="4" applyFont="1" fillId="0" applyAlignment="1">
      <alignment horizontal="left"/>
    </xf>
    <xf xfId="0" numFmtId="7" applyNumberFormat="1" borderId="10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0" borderId="1" applyBorder="1" fontId="5" applyFont="1" fillId="0" applyAlignment="1">
      <alignment horizontal="right"/>
    </xf>
    <xf xfId="0" numFmtId="7" applyNumberFormat="1" borderId="1" applyBorder="1" fontId="5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7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1" applyBorder="1" fontId="4" applyFont="1" fillId="2" applyFill="1" applyAlignment="1">
      <alignment horizontal="left"/>
    </xf>
    <xf xfId="0" numFmtId="3" applyNumberFormat="1" borderId="12" applyBorder="1" fontId="4" applyFont="1" fillId="2" applyFill="1" applyAlignment="1">
      <alignment horizontal="left"/>
    </xf>
    <xf xfId="0" numFmtId="0" borderId="5" applyBorder="1" fontId="7" applyFont="1" fillId="0" applyAlignment="1">
      <alignment horizontal="righ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0" borderId="8" applyBorder="1" fontId="1" applyFont="1" fillId="2" applyFill="1" applyAlignment="1">
      <alignment horizontal="right"/>
    </xf>
    <xf xfId="0" numFmtId="3" applyNumberFormat="1" borderId="10" applyBorder="1" fontId="1" applyFont="1" fillId="2" applyFill="1" applyAlignment="1">
      <alignment horizontal="right"/>
    </xf>
    <xf xfId="0" numFmtId="3" applyNumberFormat="1" borderId="0" fontId="0" fillId="0" applyAlignment="1">
      <alignment horizontal="right"/>
    </xf>
    <xf xfId="0" numFmtId="0" borderId="1" applyBorder="1" fontId="8" applyFont="1" fillId="0" applyAlignment="1">
      <alignment horizontal="center"/>
    </xf>
    <xf xfId="0" numFmtId="0" borderId="1" applyBorder="1" fontId="9" applyFont="1" fillId="0" applyAlignment="1">
      <alignment horizontal="left"/>
    </xf>
    <xf xfId="0" numFmtId="164" applyNumberFormat="1" borderId="1" applyBorder="1" fontId="9" applyFont="1" fillId="0" applyAlignment="1">
      <alignment horizontal="left"/>
    </xf>
    <xf xfId="0" numFmtId="0" borderId="0" fontId="0" fillId="0" applyAlignment="1">
      <alignment horizontal="center"/>
    </xf>
    <xf xfId="0" numFmtId="4" applyNumberFormat="1" borderId="1" applyBorder="1" fontId="9" applyFont="1" fillId="0" applyAlignment="1">
      <alignment horizontal="right"/>
    </xf>
    <xf xfId="0" numFmtId="0" borderId="13" applyBorder="1" fontId="1" applyFont="1" fillId="3" applyFill="1" applyAlignment="1">
      <alignment horizontal="center"/>
    </xf>
    <xf xfId="0" numFmtId="0" borderId="14" applyBorder="1" fontId="1" applyFont="1" fillId="3" applyFill="1" applyAlignment="1">
      <alignment horizontal="center"/>
    </xf>
    <xf xfId="0" numFmtId="164" applyNumberFormat="1" borderId="15" applyBorder="1" fontId="1" applyFont="1" fillId="3" applyFill="1" applyAlignment="1">
      <alignment horizontal="center"/>
    </xf>
    <xf xfId="0" numFmtId="4" applyNumberFormat="1" borderId="4" applyBorder="1" fontId="10" applyFont="1" fillId="0" applyAlignment="1">
      <alignment horizontal="right"/>
    </xf>
    <xf xfId="0" numFmtId="0" borderId="16" applyBorder="1" fontId="11" applyFont="1" fillId="0" applyAlignment="1">
      <alignment horizontal="center" wrapText="1"/>
    </xf>
    <xf xfId="0" numFmtId="0" borderId="1" applyBorder="1" fontId="11" applyFont="1" fillId="0" applyAlignment="1">
      <alignment horizontal="center" wrapText="1"/>
    </xf>
    <xf xfId="0" numFmtId="4" applyNumberFormat="1" borderId="7" applyBorder="1" fontId="12" applyFont="1" fillId="0" applyAlignment="1">
      <alignment horizontal="right"/>
    </xf>
    <xf xfId="0" numFmtId="0" borderId="16" applyBorder="1" fontId="13" applyFont="1" fillId="0" applyAlignment="1">
      <alignment horizontal="center" wrapText="1"/>
    </xf>
    <xf xfId="0" numFmtId="0" borderId="1" applyBorder="1" fontId="13" applyFont="1" fillId="0" applyAlignment="1">
      <alignment horizontal="center" wrapText="1"/>
    </xf>
    <xf xfId="0" numFmtId="0" borderId="16" applyBorder="1" fontId="13" applyFont="1" fillId="0" applyAlignment="1">
      <alignment horizontal="center"/>
    </xf>
    <xf xfId="0" numFmtId="0" borderId="1" applyBorder="1" fontId="13" applyFont="1" fillId="0" applyAlignment="1">
      <alignment horizontal="center"/>
    </xf>
    <xf xfId="0" numFmtId="0" borderId="8" applyBorder="1" fontId="2" applyFont="1" fillId="0" applyAlignment="1">
      <alignment horizontal="left"/>
    </xf>
    <xf xfId="0" numFmtId="0" borderId="9" applyBorder="1" fontId="3" applyFont="1" fillId="0" applyAlignment="1">
      <alignment horizontal="left"/>
    </xf>
    <xf xfId="0" numFmtId="4" applyNumberFormat="1" borderId="10" applyBorder="1" fontId="12" applyFont="1" fillId="0" applyAlignment="1">
      <alignment horizontal="right"/>
    </xf>
    <xf xfId="0" numFmtId="0" borderId="17" applyBorder="1" fontId="2" applyFont="1" fillId="0" applyAlignment="1">
      <alignment horizontal="left"/>
    </xf>
    <xf xfId="0" numFmtId="0" borderId="18" applyBorder="1" fontId="3" applyFont="1" fillId="0" applyAlignment="1">
      <alignment horizontal="left"/>
    </xf>
    <xf xfId="0" numFmtId="4" applyNumberFormat="1" borderId="19" applyBorder="1" fontId="12" applyFont="1" fillId="0" applyAlignment="1">
      <alignment horizontal="right"/>
    </xf>
    <xf xfId="0" numFmtId="0" borderId="16" applyBorder="1" fontId="3" applyFont="1" fillId="0" applyAlignment="1">
      <alignment horizontal="left"/>
    </xf>
    <xf xfId="0" numFmtId="4" applyNumberFormat="1" borderId="20" applyBorder="1" fontId="6" applyFont="1" fillId="0" applyAlignment="1">
      <alignment horizontal="right"/>
    </xf>
    <xf xfId="0" numFmtId="164" applyNumberFormat="1" borderId="0" fontId="0" fillId="0" applyAlignment="1">
      <alignment horizontal="general"/>
    </xf>
    <xf xfId="0" numFmtId="0" borderId="3" applyBorder="1" fontId="2" applyFont="1" fillId="0" applyAlignment="1">
      <alignment horizontal="left"/>
    </xf>
    <xf xfId="0" numFmtId="4" applyNumberFormat="1" borderId="4" applyBorder="1" fontId="2" applyFont="1" fillId="0" applyAlignment="1">
      <alignment horizontal="right"/>
    </xf>
    <xf xfId="0" numFmtId="0" borderId="6" applyBorder="1" fontId="2" applyFont="1" fillId="0" applyAlignment="1">
      <alignment horizontal="left"/>
    </xf>
    <xf xfId="0" numFmtId="4" applyNumberFormat="1" borderId="7" applyBorder="1" fontId="2" applyFont="1" fillId="0" applyAlignment="1">
      <alignment horizontal="right"/>
    </xf>
    <xf xfId="0" numFmtId="0" borderId="9" applyBorder="1" fontId="2" applyFont="1" fillId="0" applyAlignment="1">
      <alignment horizontal="left"/>
    </xf>
    <xf xfId="0" numFmtId="4" applyNumberFormat="1" borderId="10" applyBorder="1" fontId="2" applyFont="1" fillId="0" applyAlignment="1">
      <alignment horizontal="right"/>
    </xf>
    <xf xfId="0" numFmtId="0" borderId="21" applyBorder="1" fontId="5" applyFont="1" fillId="0" applyAlignment="1">
      <alignment horizontal="right"/>
    </xf>
    <xf xfId="0" numFmtId="0" borderId="1" applyBorder="1" fontId="14" applyFont="1" fillId="0" applyAlignment="1">
      <alignment horizontal="right"/>
    </xf>
    <xf xfId="0" numFmtId="4" applyNumberFormat="1" borderId="1" applyBorder="1" fontId="14" applyFont="1" fillId="0" applyAlignment="1">
      <alignment horizontal="right"/>
    </xf>
    <xf xfId="0" numFmtId="0" borderId="1" applyBorder="1" fontId="15" applyFont="1" fillId="0" applyAlignment="1">
      <alignment horizontal="left"/>
    </xf>
    <xf xfId="0" numFmtId="0" borderId="16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0" borderId="22" applyBorder="1" fontId="2" applyFont="1" fillId="0" applyAlignment="1">
      <alignment horizontal="left"/>
    </xf>
    <xf xfId="0" numFmtId="0" borderId="23" applyBorder="1" fontId="3" applyFont="1" fillId="0" applyAlignment="1">
      <alignment horizontal="left"/>
    </xf>
    <xf xfId="0" numFmtId="7" applyNumberFormat="1" borderId="24" applyBorder="1" fontId="2" applyFont="1" fillId="0" applyAlignment="1">
      <alignment horizontal="right"/>
    </xf>
    <xf xfId="0" numFmtId="7" applyNumberFormat="1" borderId="10" applyBorder="1" fontId="2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1" applyNumberFormat="1" borderId="4" applyBorder="1" fontId="2" applyFont="1" fillId="0" applyAlignment="1">
      <alignment horizontal="right"/>
    </xf>
    <xf xfId="0" numFmtId="1" applyNumberFormat="1" borderId="7" applyBorder="1" fontId="2" applyFont="1" fillId="0" applyAlignment="1">
      <alignment horizontal="right"/>
    </xf>
    <xf xfId="0" numFmtId="0" borderId="8" applyBorder="1" fontId="1" applyFont="1" fillId="0" applyAlignment="1">
      <alignment horizontal="right"/>
    </xf>
    <xf xfId="0" numFmtId="1" applyNumberFormat="1" borderId="10" applyBorder="1" fontId="1" applyFont="1" fillId="0" applyAlignment="1">
      <alignment horizontal="right"/>
    </xf>
    <xf xfId="0" numFmtId="0" borderId="25" applyBorder="1" fontId="2" applyFont="1" fillId="0" applyAlignment="1">
      <alignment horizontal="left"/>
    </xf>
    <xf xfId="0" numFmtId="7" applyNumberFormat="1" borderId="26" applyBorder="1" fontId="12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0" borderId="25" applyBorder="1" fontId="1" applyFont="1" fillId="4" applyFill="1" applyAlignment="1">
      <alignment horizontal="left"/>
    </xf>
    <xf xfId="0" numFmtId="164" applyNumberFormat="1" borderId="26" applyBorder="1" fontId="1" applyFont="1" fillId="4" applyFill="1" applyAlignment="1">
      <alignment horizontal="center"/>
    </xf>
    <xf xfId="0" numFmtId="0" borderId="2" applyBorder="1" fontId="3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0" borderId="5" applyBorder="1" fontId="3" applyFont="1" fillId="0" applyAlignment="1">
      <alignment horizontal="left"/>
    </xf>
    <xf xfId="0" numFmtId="4" applyNumberFormat="1" borderId="7" applyBorder="1" fontId="3" applyFont="1" fillId="0" applyAlignment="1">
      <alignment horizontal="right"/>
    </xf>
    <xf xfId="0" numFmtId="0" borderId="8" applyBorder="1" fontId="3" applyFont="1" fillId="0" applyAlignment="1">
      <alignment horizontal="left"/>
    </xf>
    <xf xfId="0" numFmtId="164" applyNumberFormat="1" borderId="10" applyBorder="1" fontId="3" applyFont="1" fillId="0" applyAlignment="1">
      <alignment horizontal="right"/>
    </xf>
    <xf xfId="0" numFmtId="0" borderId="1" applyBorder="1" fontId="6" applyFont="1" fillId="0" applyAlignment="1">
      <alignment horizontal="center"/>
    </xf>
    <xf xfId="0" numFmtId="164" applyNumberFormat="1" borderId="1" applyBorder="1" fontId="6" applyFont="1" fillId="0" applyAlignment="1">
      <alignment horizontal="center"/>
    </xf>
    <xf xfId="0" numFmtId="16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right"/>
    </xf>
    <xf xfId="0" numFmtId="4" applyNumberFormat="1" borderId="1" applyBorder="1" fontId="13" applyFont="1" fillId="0" applyAlignment="1">
      <alignment horizontal="center"/>
    </xf>
    <xf xfId="0" numFmtId="7" applyNumberFormat="1" borderId="0" fontId="0" fillId="0" applyAlignment="1">
      <alignment horizontal="general"/>
    </xf>
    <xf xfId="0" numFmtId="0" borderId="27" applyBorder="1" fontId="1" applyFont="1" fillId="3" applyFill="1" applyAlignment="1">
      <alignment horizontal="center"/>
    </xf>
    <xf xfId="0" numFmtId="0" borderId="28" applyBorder="1" fontId="1" applyFont="1" fillId="3" applyFill="1" applyAlignment="1">
      <alignment horizontal="center"/>
    </xf>
    <xf xfId="0" numFmtId="14" applyNumberFormat="1" borderId="28" applyBorder="1" fontId="7" applyFont="1" fillId="3" applyFill="1" applyAlignment="1">
      <alignment horizontal="left"/>
    </xf>
    <xf xfId="0" numFmtId="4" applyNumberFormat="1" borderId="29" applyBorder="1" fontId="15" applyFont="1" fillId="3" applyFill="1" applyAlignment="1">
      <alignment horizontal="left"/>
    </xf>
    <xf xfId="0" numFmtId="0" borderId="30" applyBorder="1" fontId="2" applyFont="1" fillId="0" applyAlignment="1">
      <alignment horizontal="left"/>
    </xf>
    <xf xfId="0" numFmtId="0" borderId="31" applyBorder="1" fontId="3" applyFont="1" fillId="0" applyAlignment="1">
      <alignment horizontal="left"/>
    </xf>
    <xf xfId="0" numFmtId="4" applyNumberFormat="1" borderId="32" applyBorder="1" fontId="3" applyFont="1" fillId="0" applyAlignment="1">
      <alignment horizontal="right"/>
    </xf>
    <xf xfId="0" numFmtId="4" applyNumberFormat="1" borderId="18" applyBorder="1" fontId="3" applyFont="1" fillId="0" applyAlignment="1">
      <alignment horizontal="right"/>
    </xf>
    <xf xfId="0" numFmtId="4" applyNumberFormat="1" borderId="19" applyBorder="1" fontId="15" applyFont="1" fillId="0" applyAlignment="1">
      <alignment horizontal="right"/>
    </xf>
    <xf xfId="0" numFmtId="0" borderId="33" applyBorder="1" fontId="2" applyFont="1" fillId="0" applyAlignment="1">
      <alignment horizontal="left"/>
    </xf>
    <xf xfId="0" numFmtId="0" borderId="34" applyBorder="1" fontId="3" applyFont="1" fillId="0" applyAlignment="1">
      <alignment horizontal="left"/>
    </xf>
    <xf xfId="0" numFmtId="4" applyNumberFormat="1" borderId="35" applyBorder="1" fontId="3" applyFont="1" fillId="0" applyAlignment="1">
      <alignment horizontal="right"/>
    </xf>
    <xf xfId="0" numFmtId="4" applyNumberFormat="1" borderId="6" applyBorder="1" fontId="3" applyFont="1" fillId="0" applyAlignment="1">
      <alignment horizontal="right"/>
    </xf>
    <xf xfId="0" numFmtId="0" borderId="36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right"/>
    </xf>
    <xf xfId="0" numFmtId="4" applyNumberFormat="1" borderId="4" applyBorder="1" fontId="4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0" borderId="25" applyBorder="1" fontId="3" applyFont="1" fillId="0" applyAlignment="1">
      <alignment horizontal="left"/>
    </xf>
    <xf xfId="0" numFmtId="0" borderId="26" applyBorder="1" fontId="3" applyFont="1" fillId="0" applyAlignment="1">
      <alignment horizontal="left"/>
    </xf>
    <xf xfId="0" numFmtId="0" borderId="37" applyBorder="1" fontId="2" applyFont="1" fillId="2" applyFill="1" applyAlignment="1">
      <alignment horizontal="left"/>
    </xf>
    <xf xfId="0" numFmtId="0" borderId="38" applyBorder="1" fontId="3" applyFont="1" fillId="2" applyFill="1" applyAlignment="1">
      <alignment horizontal="left"/>
    </xf>
    <xf xfId="0" numFmtId="4" applyNumberFormat="1" borderId="38" applyBorder="1" fontId="3" applyFont="1" fillId="2" applyFill="1" applyAlignment="1">
      <alignment horizontal="right"/>
    </xf>
    <xf xfId="0" numFmtId="4" applyNumberFormat="1" borderId="38" applyBorder="1" fontId="3" applyFont="1" fillId="2" applyFill="1" applyAlignment="1">
      <alignment horizontal="left"/>
    </xf>
    <xf xfId="0" numFmtId="4" applyNumberFormat="1" borderId="38" applyBorder="1" fontId="16" applyFont="1" fillId="2" applyFill="1" applyAlignment="1">
      <alignment horizontal="left"/>
    </xf>
    <xf xfId="0" numFmtId="4" applyNumberFormat="1" borderId="39" applyBorder="1" fontId="15" applyFont="1" fillId="2" applyFill="1" applyAlignment="1">
      <alignment horizontal="left"/>
    </xf>
    <xf xfId="0" numFmtId="0" borderId="8" applyBorder="1" fontId="3" applyFont="1" fillId="2" applyFill="1" applyAlignment="1">
      <alignment horizontal="center"/>
    </xf>
    <xf xfId="0" numFmtId="0" borderId="9" applyBorder="1" fontId="3" applyFont="1" fillId="2" applyFill="1" applyAlignment="1">
      <alignment horizontal="center"/>
    </xf>
    <xf xfId="0" numFmtId="7" applyNumberFormat="1" borderId="9" applyBorder="1" fontId="3" applyFont="1" fillId="2" applyFill="1" applyAlignment="1">
      <alignment horizontal="center"/>
    </xf>
    <xf xfId="0" numFmtId="4" applyNumberFormat="1" borderId="10" applyBorder="1" fontId="2" applyFont="1" fillId="2" applyFill="1" applyAlignment="1">
      <alignment horizontal="center"/>
    </xf>
    <xf xfId="0" numFmtId="4" applyNumberFormat="1" borderId="3" applyBorder="1" fontId="17" applyFont="1" fillId="0" applyAlignment="1">
      <alignment horizontal="right"/>
    </xf>
    <xf xfId="0" numFmtId="4" applyNumberFormat="1" borderId="3" applyBorder="1" fontId="18" applyFont="1" fillId="0" applyAlignment="1">
      <alignment horizontal="right"/>
    </xf>
    <xf xfId="0" numFmtId="4" applyNumberFormat="1" borderId="4" applyBorder="1" fontId="15" applyFont="1" fillId="0" applyAlignment="1">
      <alignment horizontal="right"/>
    </xf>
    <xf xfId="0" numFmtId="7" applyNumberFormat="1" borderId="18" applyBorder="1" fontId="2" applyFont="1" fillId="0" applyAlignment="1">
      <alignment horizontal="right"/>
    </xf>
    <xf xfId="0" numFmtId="4" applyNumberFormat="1" borderId="19" applyBorder="1" fontId="2" applyFont="1" fillId="0" applyAlignment="1">
      <alignment horizontal="right"/>
    </xf>
    <xf xfId="0" numFmtId="4" applyNumberFormat="1" borderId="6" applyBorder="1" fontId="17" applyFont="1" fillId="0" applyAlignment="1">
      <alignment horizontal="right"/>
    </xf>
    <xf xfId="0" numFmtId="4" applyNumberFormat="1" borderId="6" applyBorder="1" fontId="18" applyFont="1" fillId="0" applyAlignment="1">
      <alignment horizontal="right"/>
    </xf>
    <xf xfId="0" numFmtId="4" applyNumberFormat="1" borderId="7" applyBorder="1" fontId="15" applyFont="1" fillId="0" applyAlignment="1">
      <alignment horizontal="right"/>
    </xf>
    <xf xfId="0" numFmtId="7" applyNumberFormat="1" borderId="6" applyBorder="1" fontId="2" applyFont="1" fillId="0" applyAlignment="1">
      <alignment horizontal="right"/>
    </xf>
    <xf xfId="0" numFmtId="0" borderId="36" applyBorder="1" fontId="2" applyFont="1" fillId="0" applyAlignment="1">
      <alignment horizontal="left"/>
    </xf>
    <xf xfId="0" numFmtId="0" borderId="40" applyBorder="1" fontId="3" applyFont="1" fillId="0" applyAlignment="1">
      <alignment horizontal="left"/>
    </xf>
    <xf xfId="0" numFmtId="0" borderId="8" applyBorder="1" fontId="1" applyFont="1" fillId="2" applyFill="1" applyAlignment="1">
      <alignment horizontal="center"/>
    </xf>
    <xf xfId="0" numFmtId="0" borderId="9" applyBorder="1" fontId="1" applyFont="1" fillId="2" applyFill="1" applyAlignment="1">
      <alignment horizontal="center"/>
    </xf>
    <xf xfId="0" numFmtId="7" applyNumberFormat="1" borderId="9" applyBorder="1" fontId="1" applyFont="1" fillId="2" applyFill="1" applyAlignment="1">
      <alignment horizontal="center"/>
    </xf>
    <xf xfId="0" numFmtId="4" applyNumberFormat="1" borderId="10" applyBorder="1" fontId="1" applyFont="1" fillId="2" applyFill="1" applyAlignment="1">
      <alignment horizontal="center"/>
    </xf>
    <xf xfId="0" numFmtId="7" applyNumberFormat="1" borderId="1" applyBorder="1" fontId="1" applyFont="1" fillId="0" applyAlignment="1">
      <alignment horizontal="right"/>
    </xf>
    <xf xfId="0" numFmtId="0" borderId="41" applyBorder="1" fontId="2" applyFont="1" fillId="2" applyFill="1" applyAlignment="1">
      <alignment horizontal="left"/>
    </xf>
    <xf xfId="0" numFmtId="0" borderId="42" applyBorder="1" fontId="3" applyFont="1" fillId="2" applyFill="1" applyAlignment="1">
      <alignment horizontal="left"/>
    </xf>
    <xf xfId="0" numFmtId="4" applyNumberFormat="1" borderId="42" applyBorder="1" fontId="3" applyFont="1" fillId="2" applyFill="1" applyAlignment="1">
      <alignment horizontal="right"/>
    </xf>
    <xf xfId="0" numFmtId="4" applyNumberFormat="1" borderId="42" applyBorder="1" fontId="3" applyFont="1" fillId="2" applyFill="1" applyAlignment="1">
      <alignment horizontal="left"/>
    </xf>
    <xf xfId="0" numFmtId="4" applyNumberFormat="1" borderId="42" applyBorder="1" fontId="15" applyFont="1" fillId="2" applyFill="1" applyAlignment="1">
      <alignment horizontal="left"/>
    </xf>
    <xf xfId="0" numFmtId="4" applyNumberFormat="1" borderId="1" applyBorder="1" fontId="3" applyFont="1" fillId="0" applyAlignment="1">
      <alignment horizontal="left"/>
    </xf>
    <xf xfId="0" numFmtId="0" borderId="43" applyBorder="1" fontId="4" applyFont="1" fillId="0" applyAlignment="1">
      <alignment horizontal="left"/>
    </xf>
    <xf xfId="0" numFmtId="4" applyNumberFormat="1" borderId="43" applyBorder="1" fontId="4" applyFont="1" fillId="0" applyAlignment="1">
      <alignment horizontal="right"/>
    </xf>
    <xf xfId="0" numFmtId="4" applyNumberFormat="1" borderId="26" applyBorder="1" fontId="15" applyFont="1" fillId="0" applyAlignment="1">
      <alignment horizontal="right"/>
    </xf>
    <xf xfId="0" numFmtId="0" borderId="43" applyBorder="1" fontId="3" applyFont="1" fillId="0" applyAlignment="1">
      <alignment horizontal="left"/>
    </xf>
    <xf xfId="0" numFmtId="7" applyNumberFormat="1" borderId="43" applyBorder="1" fontId="2" applyFont="1" fillId="0" applyAlignment="1">
      <alignment horizontal="right"/>
    </xf>
    <xf xfId="0" numFmtId="4" applyNumberFormat="1" borderId="26" applyBorder="1" fontId="3" applyFont="1" fillId="0" applyAlignment="1">
      <alignment horizontal="right"/>
    </xf>
    <xf xfId="0" numFmtId="4" applyNumberFormat="1" borderId="1" applyBorder="1" fontId="6" applyFont="1" fillId="0" applyAlignment="1">
      <alignment horizontal="center"/>
    </xf>
    <xf xfId="0" numFmtId="0" borderId="42" applyBorder="1" fontId="2" applyFont="1" fillId="2" applyFill="1" applyAlignment="1">
      <alignment horizontal="left"/>
    </xf>
    <xf xfId="0" numFmtId="7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4" applyNumberFormat="1" borderId="43" applyBorder="1" fontId="3" applyFont="1" fillId="0" applyAlignment="1">
      <alignment horizontal="right"/>
    </xf>
    <xf xfId="0" numFmtId="4" applyNumberFormat="1" borderId="43" applyBorder="1" fontId="19" applyFont="1" fillId="0" applyAlignment="1">
      <alignment horizontal="right"/>
    </xf>
    <xf xfId="0" numFmtId="4" applyNumberFormat="1" borderId="44" applyBorder="1" fontId="19" applyFont="1" fillId="0" applyAlignment="1">
      <alignment horizontal="right"/>
    </xf>
    <xf xfId="0" numFmtId="7" applyNumberFormat="1" borderId="1" applyBorder="1" fontId="6" applyFont="1" fillId="0" applyAlignment="1">
      <alignment horizontal="center"/>
    </xf>
    <xf xfId="0" numFmtId="7" applyNumberFormat="1" borderId="0" fontId="0" fillId="0" applyAlignment="1">
      <alignment horizontal="general"/>
    </xf>
    <xf xfId="0" numFmtId="3" applyNumberFormat="1" borderId="1" applyBorder="1" fontId="13" applyFont="1" fillId="0" applyAlignment="1">
      <alignment horizontal="center"/>
    </xf>
    <xf xfId="0" numFmtId="3" applyNumberFormat="1" borderId="29" applyBorder="1" fontId="15" applyFont="1" fillId="3" applyFill="1" applyAlignment="1">
      <alignment horizontal="left"/>
    </xf>
    <xf xfId="0" numFmtId="3" applyNumberFormat="1" borderId="27" applyBorder="1" fontId="1" applyFont="1" fillId="3" applyFill="1" applyAlignment="1">
      <alignment horizontal="center"/>
    </xf>
    <xf xfId="0" numFmtId="3" applyNumberFormat="1" borderId="30" applyBorder="1" fontId="2" applyFont="1" fillId="0" applyAlignment="1">
      <alignment horizontal="left"/>
    </xf>
    <xf xfId="0" numFmtId="3" applyNumberFormat="1" borderId="33" applyBorder="1" fontId="2" applyFont="1" fillId="0" applyAlignment="1">
      <alignment horizontal="left"/>
    </xf>
    <xf xfId="0" numFmtId="0" borderId="45" applyBorder="1" fontId="2" applyFont="1" fillId="0" applyAlignment="1">
      <alignment horizontal="left"/>
    </xf>
    <xf xfId="0" numFmtId="0" borderId="46" applyBorder="1" fontId="20" applyFont="1" fillId="0" applyAlignment="1">
      <alignment horizontal="left"/>
    </xf>
    <xf xfId="0" numFmtId="4" applyNumberFormat="1" borderId="23" applyBorder="1" fontId="20" applyFont="1" fillId="0" applyAlignment="1">
      <alignment horizontal="right"/>
    </xf>
    <xf xfId="0" numFmtId="4" applyNumberFormat="1" borderId="47" applyBorder="1" fontId="21" applyFont="1" fillId="0" applyAlignment="1">
      <alignment horizontal="right"/>
    </xf>
    <xf xfId="0" numFmtId="0" borderId="48" applyBorder="1" fontId="2" applyFont="1" fillId="0" applyAlignment="1">
      <alignment horizontal="left"/>
    </xf>
    <xf xfId="0" numFmtId="0" borderId="49" applyBorder="1" fontId="3" applyFont="1" fillId="0" applyAlignment="1">
      <alignment horizontal="left"/>
    </xf>
    <xf xfId="0" numFmtId="4" applyNumberFormat="1" borderId="50" applyBorder="1" fontId="3" applyFont="1" fillId="0" applyAlignment="1">
      <alignment horizontal="right"/>
    </xf>
    <xf xfId="0" numFmtId="4" applyNumberFormat="1" borderId="51" applyBorder="1" fontId="3" applyFont="1" fillId="0" applyAlignment="1">
      <alignment horizontal="right"/>
    </xf>
    <xf xfId="0" numFmtId="4" applyNumberFormat="1" borderId="4" applyBorder="1" fontId="21" applyFont="1" fillId="0" applyAlignment="1">
      <alignment horizontal="right"/>
    </xf>
    <xf xfId="0" numFmtId="3" applyNumberFormat="1" borderId="45" applyBorder="1" fontId="2" applyFont="1" fillId="0" applyAlignment="1">
      <alignment horizontal="left"/>
    </xf>
    <xf xfId="0" numFmtId="0" borderId="46" applyBorder="1" fontId="3" applyFont="1" fillId="0" applyAlignment="1">
      <alignment horizontal="left"/>
    </xf>
    <xf xfId="0" numFmtId="4" applyNumberFormat="1" borderId="52" applyBorder="1" fontId="3" applyFont="1" fillId="0" applyAlignment="1">
      <alignment horizontal="right"/>
    </xf>
    <xf xfId="0" numFmtId="4" applyNumberFormat="1" borderId="23" applyBorder="1" fontId="3" applyFont="1" fillId="0" applyAlignment="1">
      <alignment horizontal="right"/>
    </xf>
    <xf xfId="0" numFmtId="4" applyNumberFormat="1" borderId="19" applyBorder="1" fontId="21" applyFont="1" fillId="0" applyAlignment="1">
      <alignment horizontal="right"/>
    </xf>
    <xf xfId="0" numFmtId="0" borderId="53" applyBorder="1" fontId="2" applyFont="1" fillId="0" applyAlignment="1">
      <alignment horizontal="left"/>
    </xf>
    <xf xfId="0" numFmtId="0" borderId="54" applyBorder="1" fontId="20" applyFont="1" fillId="0" applyAlignment="1">
      <alignment horizontal="left"/>
    </xf>
    <xf xfId="0" numFmtId="4" applyNumberFormat="1" borderId="55" applyBorder="1" fontId="20" applyFont="1" fillId="0" applyAlignment="1">
      <alignment horizontal="right"/>
    </xf>
    <xf xfId="0" numFmtId="3" applyNumberFormat="1" borderId="53" applyBorder="1" fontId="2" applyFont="1" fillId="0" applyAlignment="1">
      <alignment horizontal="left"/>
    </xf>
    <xf xfId="0" numFmtId="0" borderId="54" applyBorder="1" fontId="3" applyFont="1" fillId="0" applyAlignment="1">
      <alignment horizontal="left"/>
    </xf>
    <xf xfId="0" numFmtId="0" borderId="3" applyBorder="1" fontId="4" applyFont="1" fillId="0" applyAlignment="1">
      <alignment horizontal="left"/>
    </xf>
    <xf xfId="0" numFmtId="4" applyNumberFormat="1" borderId="3" applyBorder="1" fontId="4" applyFont="1" fillId="0" applyAlignment="1">
      <alignment horizontal="right"/>
    </xf>
    <xf xfId="0" numFmtId="3" applyNumberFormat="1" borderId="2" applyBorder="1" fontId="3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4" applyNumberFormat="1" borderId="56" applyBorder="1" fontId="4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0" borderId="57" applyBorder="1" fontId="2" applyFont="1" fillId="2" applyFill="1" applyAlignment="1">
      <alignment horizontal="left"/>
    </xf>
    <xf xfId="0" numFmtId="0" borderId="58" applyBorder="1" fontId="3" applyFont="1" fillId="2" applyFill="1" applyAlignment="1">
      <alignment horizontal="left"/>
    </xf>
    <xf xfId="0" numFmtId="4" applyNumberFormat="1" borderId="58" applyBorder="1" fontId="3" applyFont="1" fillId="2" applyFill="1" applyAlignment="1">
      <alignment horizontal="right"/>
    </xf>
    <xf xfId="0" numFmtId="3" applyNumberFormat="1" borderId="58" applyBorder="1" fontId="3" applyFont="1" fillId="2" applyFill="1" applyAlignment="1">
      <alignment horizontal="left"/>
    </xf>
    <xf xfId="0" numFmtId="3" applyNumberFormat="1" borderId="59" applyBorder="1" fontId="15" applyFont="1" fillId="2" applyFill="1" applyAlignment="1">
      <alignment horizontal="left"/>
    </xf>
    <xf xfId="0" numFmtId="3" applyNumberFormat="1" borderId="11" applyBorder="1" fontId="1" applyFont="1" fillId="2" applyFill="1" applyAlignment="1">
      <alignment horizontal="center"/>
    </xf>
    <xf xfId="0" numFmtId="0" borderId="60" applyBorder="1" fontId="1" applyFont="1" fillId="2" applyFill="1" applyAlignment="1">
      <alignment horizontal="center"/>
    </xf>
    <xf xfId="0" numFmtId="7" applyNumberFormat="1" borderId="60" applyBorder="1" fontId="1" applyFont="1" fillId="2" applyFill="1" applyAlignment="1">
      <alignment horizontal="center"/>
    </xf>
    <xf xfId="0" numFmtId="4" applyNumberFormat="1" borderId="12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4" applyNumberFormat="1" borderId="2" applyBorder="1" fontId="3" applyFont="1" fillId="0" applyAlignment="1">
      <alignment horizontal="right"/>
    </xf>
    <xf xfId="0" numFmtId="4" applyNumberFormat="1" borderId="3" applyBorder="1" fontId="19" applyFont="1" fillId="0" applyAlignment="1">
      <alignment horizontal="right"/>
    </xf>
    <xf xfId="0" numFmtId="4" applyNumberFormat="1" borderId="4" applyBorder="1" fontId="19" applyFont="1" fillId="0" applyAlignment="1">
      <alignment horizontal="right"/>
    </xf>
    <xf xfId="0" numFmtId="4" applyNumberFormat="1" borderId="61" applyBorder="1" fontId="15" applyFont="1" fillId="0" applyAlignment="1">
      <alignment horizontal="right"/>
    </xf>
    <xf xfId="0" numFmtId="3" applyNumberFormat="1" borderId="8" applyBorder="1" fontId="3" applyFont="1" fillId="2" applyFill="1" applyAlignment="1">
      <alignment horizontal="center"/>
    </xf>
    <xf xfId="0" numFmtId="0" borderId="5" applyBorder="1" fontId="2" applyFont="1" fillId="0" applyAlignment="1">
      <alignment horizontal="left"/>
    </xf>
    <xf xfId="0" numFmtId="0" borderId="7" applyBorder="1" fontId="3" applyFont="1" fillId="0" applyAlignment="1">
      <alignment horizontal="left"/>
    </xf>
    <xf xfId="0" numFmtId="4" applyNumberFormat="1" borderId="5" applyBorder="1" fontId="3" applyFont="1" fillId="0" applyAlignment="1">
      <alignment horizontal="right"/>
    </xf>
    <xf xfId="0" numFmtId="4" applyNumberFormat="1" borderId="6" applyBorder="1" fontId="19" applyFont="1" fillId="0" applyAlignment="1">
      <alignment horizontal="right"/>
    </xf>
    <xf xfId="0" numFmtId="4" applyNumberFormat="1" borderId="7" applyBorder="1" fontId="19" applyFont="1" fillId="0" applyAlignment="1">
      <alignment horizontal="right"/>
    </xf>
    <xf xfId="0" numFmtId="4" applyNumberFormat="1" borderId="62" applyBorder="1" fontId="15" applyFont="1" fillId="0" applyAlignment="1">
      <alignment horizontal="right"/>
    </xf>
    <xf xfId="0" numFmtId="3" applyNumberFormat="1" borderId="63" applyBorder="1" fontId="3" applyFont="1" fillId="2" applyFill="1" applyAlignment="1">
      <alignment horizontal="center"/>
    </xf>
    <xf xfId="0" numFmtId="0" borderId="64" applyBorder="1" fontId="3" applyFont="1" fillId="2" applyFill="1" applyAlignment="1">
      <alignment horizontal="center"/>
    </xf>
    <xf xfId="0" numFmtId="7" applyNumberFormat="1" borderId="64" applyBorder="1" fontId="3" applyFont="1" fillId="2" applyFill="1" applyAlignment="1">
      <alignment horizontal="center"/>
    </xf>
    <xf xfId="0" numFmtId="4" applyNumberFormat="1" borderId="65" applyBorder="1" fontId="2" applyFont="1" fillId="2" applyFill="1" applyAlignment="1">
      <alignment horizontal="center"/>
    </xf>
    <xf xfId="0" numFmtId="3" applyNumberFormat="1" borderId="2" applyBorder="1" fontId="2" applyFont="1" fillId="0" applyAlignment="1">
      <alignment horizontal="left"/>
    </xf>
    <xf xfId="0" numFmtId="4" applyNumberFormat="1" borderId="3" applyBorder="1" fontId="3" applyFont="1" fillId="0" applyAlignment="1">
      <alignment horizontal="center"/>
    </xf>
    <xf xfId="0" numFmtId="4" applyNumberFormat="1" borderId="4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left"/>
    </xf>
    <xf xfId="0" numFmtId="0" borderId="24" applyBorder="1" fontId="3" applyFont="1" fillId="0" applyAlignment="1">
      <alignment horizontal="left"/>
    </xf>
    <xf xfId="0" numFmtId="4" applyNumberFormat="1" borderId="22" applyBorder="1" fontId="3" applyFont="1" fillId="0" applyAlignment="1">
      <alignment horizontal="right"/>
    </xf>
    <xf xfId="0" numFmtId="4" applyNumberFormat="1" borderId="23" applyBorder="1" fontId="19" applyFont="1" fillId="0" applyAlignment="1">
      <alignment horizontal="right"/>
    </xf>
    <xf xfId="0" numFmtId="4" applyNumberFormat="1" borderId="24" applyBorder="1" fontId="19" applyFont="1" fillId="0" applyAlignment="1">
      <alignment horizontal="right"/>
    </xf>
    <xf xfId="0" numFmtId="3" applyNumberFormat="1" borderId="22" applyBorder="1" fontId="2" applyFont="1" fillId="0" applyAlignment="1">
      <alignment horizontal="left"/>
    </xf>
    <xf xfId="0" numFmtId="7" applyNumberFormat="1" borderId="23" applyBorder="1" fontId="2" applyFont="1" fillId="0" applyAlignment="1">
      <alignment horizontal="right"/>
    </xf>
    <xf xfId="0" numFmtId="4" applyNumberFormat="1" borderId="24" applyBorder="1" fontId="2" applyFont="1" fillId="0" applyAlignment="1">
      <alignment horizontal="right"/>
    </xf>
    <xf xfId="0" numFmtId="0" borderId="10" applyBorder="1" fontId="3" applyFont="1" fillId="0" applyAlignment="1">
      <alignment horizontal="left"/>
    </xf>
    <xf xfId="0" numFmtId="4" applyNumberFormat="1" borderId="8" applyBorder="1" fontId="3" applyFont="1" fillId="0" applyAlignment="1">
      <alignment horizontal="right"/>
    </xf>
    <xf xfId="0" numFmtId="4" applyNumberFormat="1" borderId="9" applyBorder="1" fontId="3" applyFont="1" fillId="0" applyAlignment="1">
      <alignment horizontal="right"/>
    </xf>
    <xf xfId="0" numFmtId="4" applyNumberFormat="1" borderId="9" applyBorder="1" fontId="19" applyFont="1" fillId="0" applyAlignment="1">
      <alignment horizontal="right"/>
    </xf>
    <xf xfId="0" numFmtId="4" applyNumberFormat="1" borderId="10" applyBorder="1" fontId="19" applyFont="1" fillId="0" applyAlignment="1">
      <alignment horizontal="right"/>
    </xf>
    <xf xfId="0" numFmtId="4" applyNumberFormat="1" borderId="66" applyBorder="1" fontId="15" applyFont="1" fillId="0" applyAlignment="1">
      <alignment horizontal="right"/>
    </xf>
    <xf xfId="0" numFmtId="0" borderId="67" applyBorder="1" fontId="2" applyFont="1" fillId="0" applyAlignment="1">
      <alignment horizontal="left"/>
    </xf>
    <xf xfId="0" numFmtId="0" borderId="68" applyBorder="1" fontId="3" applyFont="1" fillId="0" applyAlignment="1">
      <alignment horizontal="left"/>
    </xf>
    <xf xfId="0" numFmtId="4" applyNumberFormat="1" borderId="69" applyBorder="1" fontId="3" applyFont="1" fillId="0" applyAlignment="1">
      <alignment horizontal="right"/>
    </xf>
    <xf xfId="0" numFmtId="4" applyNumberFormat="1" borderId="70" applyBorder="1" fontId="3" applyFont="1" fillId="0" applyAlignment="1">
      <alignment horizontal="right"/>
    </xf>
    <xf xfId="0" numFmtId="4" applyNumberFormat="1" borderId="71" applyBorder="1" fontId="3" applyFont="1" fillId="0" applyAlignment="1">
      <alignment horizontal="right"/>
    </xf>
    <xf xfId="0" numFmtId="4" applyNumberFormat="1" borderId="72" applyBorder="1" fontId="15" applyFont="1" fillId="0" applyAlignment="1">
      <alignment horizontal="right"/>
    </xf>
    <xf xfId="0" numFmtId="3" applyNumberFormat="1" borderId="8" applyBorder="1" fontId="2" applyFont="1" fillId="0" applyAlignment="1">
      <alignment horizontal="left"/>
    </xf>
    <xf xfId="0" numFmtId="3" applyNumberFormat="1" borderId="42" applyBorder="1" fontId="3" applyFont="1" fillId="2" applyFill="1" applyAlignment="1">
      <alignment horizontal="left"/>
    </xf>
    <xf xfId="0" numFmtId="3" applyNumberFormat="1" borderId="42" applyBorder="1" fontId="15" applyFont="1" fillId="2" applyFill="1" applyAlignment="1">
      <alignment horizontal="left"/>
    </xf>
    <xf xfId="0" numFmtId="3" applyNumberFormat="1" borderId="8" applyBorder="1" fontId="1" applyFont="1" fillId="2" applyFill="1" applyAlignment="1">
      <alignment horizontal="center"/>
    </xf>
    <xf xfId="0" numFmtId="0" borderId="73" applyBorder="1" fontId="1" applyFont="1" fillId="2" applyFill="1" applyAlignment="1">
      <alignment horizontal="center"/>
    </xf>
    <xf xfId="0" numFmtId="7" applyNumberFormat="1" borderId="25" applyBorder="1" fontId="1" applyFont="1" fillId="2" applyFill="1" applyAlignment="1">
      <alignment horizontal="center"/>
    </xf>
    <xf xfId="0" numFmtId="4" applyNumberFormat="1" borderId="26" applyBorder="1" fontId="1" applyFont="1" fillId="2" applyFill="1" applyAlignment="1">
      <alignment horizontal="center"/>
    </xf>
    <xf xfId="0" numFmtId="0" borderId="2" applyBorder="1" fontId="4" applyFont="1" fillId="0" applyAlignment="1">
      <alignment horizontal="left"/>
    </xf>
    <xf xfId="0" numFmtId="0" borderId="8" applyBorder="1" fontId="4" applyFont="1" fillId="0" applyAlignment="1">
      <alignment horizontal="left"/>
    </xf>
    <xf xfId="0" numFmtId="4" applyNumberFormat="1" borderId="9" applyBorder="1" fontId="4" applyFont="1" fillId="0" applyAlignment="1">
      <alignment horizontal="right"/>
    </xf>
    <xf xfId="0" numFmtId="4" applyNumberFormat="1" borderId="10" applyBorder="1" fontId="15" applyFont="1" fillId="0" applyAlignment="1">
      <alignment horizontal="right"/>
    </xf>
    <xf xfId="0" numFmtId="4" applyNumberFormat="1" borderId="1" applyBorder="1" fontId="15" applyFont="1" fillId="0" applyAlignment="1">
      <alignment horizontal="right"/>
    </xf>
    <xf xfId="0" numFmtId="0" borderId="69" applyBorder="1" fontId="4" applyFont="1" fillId="0" applyAlignment="1">
      <alignment horizontal="left"/>
    </xf>
    <xf xfId="0" numFmtId="0" borderId="70" applyBorder="1" fontId="4" applyFont="1" fillId="0" applyAlignment="1">
      <alignment horizontal="left"/>
    </xf>
    <xf xfId="0" numFmtId="4" applyNumberFormat="1" borderId="70" applyBorder="1" fontId="4" applyFont="1" fillId="0" applyAlignment="1">
      <alignment horizontal="right"/>
    </xf>
    <xf xfId="0" numFmtId="4" applyNumberFormat="1" borderId="70" applyBorder="1" fontId="18" applyFont="1" fillId="0" applyAlignment="1">
      <alignment horizontal="right"/>
    </xf>
    <xf xfId="0" numFmtId="4" applyNumberFormat="1" borderId="74" applyBorder="1" fontId="15" applyFont="1" fillId="0" applyAlignment="1">
      <alignment horizontal="right"/>
    </xf>
    <xf xfId="0" numFmtId="3" applyNumberFormat="1" borderId="25" applyBorder="1" fontId="2" applyFont="1" fillId="0" applyAlignment="1">
      <alignment horizontal="left"/>
    </xf>
    <xf xfId="0" numFmtId="3" applyNumberFormat="1" borderId="1" applyBorder="1" fontId="15" applyFont="1" fillId="0" applyAlignment="1">
      <alignment horizontal="left"/>
    </xf>
    <xf xfId="0" numFmtId="0" borderId="25" applyBorder="1" fontId="2" applyFont="1" fillId="2" applyFill="1" applyAlignment="1">
      <alignment horizontal="left"/>
    </xf>
    <xf xfId="0" numFmtId="0" borderId="43" applyBorder="1" fontId="4" applyFont="1" fillId="2" applyFill="1" applyAlignment="1">
      <alignment horizontal="center"/>
    </xf>
    <xf xfId="0" numFmtId="3" applyNumberFormat="1" borderId="43" applyBorder="1" fontId="3" applyFont="1" fillId="2" applyFill="1" applyAlignment="1">
      <alignment horizontal="left"/>
    </xf>
    <xf xfId="0" numFmtId="3" applyNumberFormat="1" borderId="26" applyBorder="1" fontId="15" applyFont="1" fillId="2" applyFill="1" applyAlignment="1">
      <alignment horizontal="left"/>
    </xf>
    <xf xfId="0" numFmtId="3" applyNumberFormat="1" borderId="2" applyBorder="1" fontId="4" applyFont="1" fillId="2" applyFill="1" applyAlignment="1">
      <alignment horizontal="center"/>
    </xf>
    <xf xfId="0" numFmtId="0" borderId="4" applyBorder="1" fontId="4" applyFont="1" fillId="2" applyFill="1" applyAlignment="1">
      <alignment horizontal="center"/>
    </xf>
    <xf xfId="0" numFmtId="0" borderId="16" applyBorder="1" fontId="2" applyFont="1" fillId="0" applyAlignment="1">
      <alignment horizontal="left"/>
    </xf>
    <xf xfId="0" numFmtId="0" borderId="2" applyBorder="1" fontId="7" applyFont="1" fillId="0" applyAlignment="1">
      <alignment horizontal="right"/>
    </xf>
    <xf xfId="0" numFmtId="3" applyNumberFormat="1" borderId="6" applyBorder="1" fontId="2" applyFont="1" fillId="0" applyAlignment="1">
      <alignment horizontal="right"/>
    </xf>
    <xf xfId="0" numFmtId="3" applyNumberFormat="1" borderId="75" applyBorder="1" fontId="2" applyFont="1" fillId="0" applyAlignment="1">
      <alignment horizontal="right"/>
    </xf>
    <xf xfId="0" numFmtId="3" applyNumberFormat="1" borderId="5" applyBorder="1" fontId="2" applyFont="1" fillId="0" applyAlignment="1">
      <alignment horizontal="right"/>
    </xf>
    <xf xfId="0" numFmtId="0" borderId="7" applyBorder="1" fontId="7" applyFont="1" fillId="0" applyAlignment="1">
      <alignment horizontal="left"/>
    </xf>
    <xf xfId="0" numFmtId="3" applyNumberFormat="1" borderId="76" applyBorder="1" fontId="2" applyFont="1" fillId="0" applyAlignment="1">
      <alignment horizontal="right"/>
    </xf>
    <xf xfId="0" numFmtId="0" borderId="5" applyBorder="1" fontId="5" applyFont="1" fillId="0" applyAlignment="1">
      <alignment horizontal="right"/>
    </xf>
    <xf xfId="0" numFmtId="3" applyNumberFormat="1" borderId="23" applyBorder="1" fontId="6" applyFont="1" fillId="0" applyAlignment="1">
      <alignment horizontal="right"/>
    </xf>
    <xf xfId="0" numFmtId="3" applyNumberFormat="1" borderId="6" applyBorder="1" fontId="6" applyFont="1" fillId="0" applyAlignment="1">
      <alignment horizontal="right"/>
    </xf>
    <xf xfId="0" numFmtId="3" applyNumberFormat="1" borderId="7" applyBorder="1" fontId="6" applyFont="1" fillId="0" applyAlignment="1">
      <alignment horizontal="right"/>
    </xf>
    <xf xfId="0" numFmtId="3" applyNumberFormat="1" borderId="72" applyBorder="1" fontId="6" applyFont="1" fillId="0" applyAlignment="1">
      <alignment horizontal="right"/>
    </xf>
    <xf xfId="0" numFmtId="0" borderId="77" applyBorder="1" fontId="7" applyFont="1" fillId="0" applyAlignment="1">
      <alignment horizontal="right"/>
    </xf>
    <xf xfId="0" numFmtId="3" applyNumberFormat="1" borderId="3" applyBorder="1" fontId="2" applyFont="1" fillId="0" applyAlignment="1">
      <alignment horizontal="right"/>
    </xf>
    <xf xfId="0" numFmtId="3" applyNumberFormat="1" borderId="4" applyBorder="1" fontId="2" applyFont="1" fillId="0" applyAlignment="1">
      <alignment horizontal="right"/>
    </xf>
    <xf xfId="0" numFmtId="0" borderId="7" applyBorder="1" fontId="2" applyFont="1" fillId="0" applyAlignment="1">
      <alignment horizontal="left"/>
    </xf>
    <xf xfId="0" numFmtId="0" borderId="22" applyBorder="1" fontId="5" applyFont="1" fillId="0" applyAlignment="1">
      <alignment horizontal="right"/>
    </xf>
    <xf xfId="0" numFmtId="3" applyNumberFormat="1" borderId="76" applyBorder="1" fontId="6" applyFont="1" fillId="0" applyAlignment="1">
      <alignment horizontal="right"/>
    </xf>
    <xf xfId="0" numFmtId="3" applyNumberFormat="1" borderId="22" applyBorder="1" fontId="2" applyFont="1" fillId="0" applyAlignment="1">
      <alignment horizontal="right"/>
    </xf>
    <xf xfId="0" numFmtId="0" borderId="24" applyBorder="1" fontId="2" applyFont="1" fillId="0" applyAlignment="1">
      <alignment horizontal="left"/>
    </xf>
    <xf xfId="0" numFmtId="0" borderId="37" applyBorder="1" fontId="1" applyFont="1" fillId="2" applyFill="1" applyAlignment="1">
      <alignment horizontal="left"/>
    </xf>
    <xf xfId="0" numFmtId="0" borderId="8" applyBorder="1" fontId="1" applyFont="1" fillId="2" applyFill="1" applyAlignment="1">
      <alignment horizontal="left"/>
    </xf>
    <xf xfId="0" numFmtId="3" applyNumberFormat="1" borderId="9" applyBorder="1" fontId="1" applyFont="1" fillId="2" applyFill="1" applyAlignment="1">
      <alignment horizontal="right"/>
    </xf>
    <xf xfId="0" numFmtId="3" applyNumberFormat="1" borderId="78" applyBorder="1" fontId="1" applyFont="1" fillId="2" applyFill="1" applyAlignment="1">
      <alignment horizontal="right"/>
    </xf>
    <xf xfId="0" numFmtId="3" applyNumberFormat="1" borderId="8" applyBorder="1" fontId="1" applyFont="1" fillId="0" applyAlignment="1">
      <alignment horizontal="right"/>
    </xf>
    <xf xfId="0" numFmtId="0" borderId="10" applyBorder="1" fontId="1" applyFont="1" fillId="2" applyFill="1" applyAlignment="1">
      <alignment horizontal="left"/>
    </xf>
    <xf xfId="0" numFmtId="165" applyNumberFormat="1" borderId="79" applyBorder="1" fontId="2" applyFont="1" fillId="0" applyAlignment="1">
      <alignment horizontal="center"/>
    </xf>
    <xf xfId="0" numFmtId="0" borderId="80" applyBorder="1" fontId="2" applyFont="1" fillId="0" applyAlignment="1">
      <alignment horizontal="center"/>
    </xf>
    <xf xfId="0" numFmtId="4" applyNumberFormat="1" borderId="74" applyBorder="1" fontId="4" applyFont="1" fillId="2" applyFill="1" applyAlignment="1">
      <alignment horizontal="center" wrapText="1"/>
    </xf>
    <xf xfId="0" numFmtId="3" applyNumberFormat="1" borderId="81" applyBorder="1" fontId="4" applyFont="1" fillId="2" applyFill="1" applyAlignment="1">
      <alignment horizontal="center" wrapText="1"/>
    </xf>
    <xf xfId="0" numFmtId="4" applyNumberFormat="1" borderId="81" applyBorder="1" fontId="4" applyFont="1" fillId="2" applyFill="1" applyAlignment="1">
      <alignment horizontal="center" wrapText="1"/>
    </xf>
    <xf xfId="0" numFmtId="0" borderId="1" applyBorder="1" fontId="2" applyFont="1" fillId="0" applyAlignment="1">
      <alignment horizontal="left" wrapText="1"/>
    </xf>
    <xf xfId="0" numFmtId="1" applyNumberFormat="1" borderId="74" applyBorder="1" fontId="1" applyFont="1" fillId="2" applyFill="1" applyAlignment="1">
      <alignment horizontal="center" wrapText="1"/>
    </xf>
    <xf xfId="0" numFmtId="3" applyNumberFormat="1" borderId="74" applyBorder="1" fontId="1" applyFont="1" fillId="2" applyFill="1" applyAlignment="1">
      <alignment horizontal="center" wrapText="1"/>
    </xf>
    <xf xfId="0" numFmtId="165" applyNumberFormat="1" borderId="2" applyBorder="1" fontId="22" applyFont="1" fillId="0" applyAlignment="1">
      <alignment horizontal="left"/>
    </xf>
    <xf xfId="0" numFmtId="0" borderId="3" applyBorder="1" fontId="23" applyFont="1" fillId="0" applyAlignment="1">
      <alignment horizontal="left"/>
    </xf>
    <xf xfId="0" numFmtId="4" applyNumberFormat="1" borderId="3" applyBorder="1" fontId="7" applyFont="1" fillId="0" applyAlignment="1">
      <alignment horizontal="right"/>
    </xf>
    <xf xfId="0" numFmtId="4" applyNumberFormat="1" borderId="4" applyBorder="1" fontId="7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3" applyNumberFormat="1" borderId="2" applyBorder="1" fontId="7" applyFont="1" fillId="0" applyAlignment="1">
      <alignment horizontal="right"/>
    </xf>
    <xf xfId="0" numFmtId="3" applyNumberFormat="1" borderId="3" applyBorder="1" fontId="7" applyFont="1" fillId="0" applyAlignment="1">
      <alignment horizontal="right"/>
    </xf>
    <xf xfId="0" numFmtId="3" applyNumberFormat="1" borderId="4" applyBorder="1" fontId="7" applyFont="1" fillId="0" applyAlignment="1">
      <alignment horizontal="right"/>
    </xf>
    <xf xfId="0" numFmtId="3" applyNumberFormat="1" borderId="82" applyBorder="1" fontId="7" applyFont="1" fillId="0" applyAlignment="1">
      <alignment horizontal="right"/>
    </xf>
    <xf xfId="0" numFmtId="165" applyNumberFormat="1" borderId="5" applyBorder="1" fontId="22" applyFont="1" fillId="0" applyAlignment="1">
      <alignment horizontal="left"/>
    </xf>
    <xf xfId="0" numFmtId="0" borderId="6" applyBorder="1" fontId="24" applyFont="1" fillId="0" applyAlignment="1">
      <alignment horizontal="left"/>
    </xf>
    <xf xfId="0" numFmtId="4" applyNumberFormat="1" borderId="6" applyBorder="1" fontId="7" applyFont="1" fillId="0" applyAlignment="1">
      <alignment horizontal="right"/>
    </xf>
    <xf xfId="0" numFmtId="4" applyNumberFormat="1" borderId="7" applyBorder="1" fontId="7" applyFont="1" fillId="0" applyAlignment="1">
      <alignment horizontal="right"/>
    </xf>
    <xf xfId="0" numFmtId="3" applyNumberFormat="1" borderId="5" applyBorder="1" fontId="7" applyFont="1" fillId="0" applyAlignment="1">
      <alignment horizontal="right"/>
    </xf>
    <xf xfId="0" numFmtId="3" applyNumberFormat="1" borderId="6" applyBorder="1" fontId="7" applyFont="1" fillId="0" applyAlignment="1">
      <alignment horizontal="right"/>
    </xf>
    <xf xfId="0" numFmtId="3" applyNumberFormat="1" borderId="7" applyBorder="1" fontId="7" applyFont="1" fillId="0" applyAlignment="1">
      <alignment horizontal="right"/>
    </xf>
    <xf xfId="0" numFmtId="3" applyNumberFormat="1" borderId="62" applyBorder="1" fontId="7" applyFont="1" fillId="0" applyAlignment="1">
      <alignment horizontal="right"/>
    </xf>
    <xf xfId="0" numFmtId="165" applyNumberFormat="1" borderId="8" applyBorder="1" fontId="22" applyFont="1" fillId="0" applyAlignment="1">
      <alignment horizontal="left"/>
    </xf>
    <xf xfId="0" numFmtId="0" borderId="9" applyBorder="1" fontId="24" applyFont="1" fillId="0" applyAlignment="1">
      <alignment horizontal="left"/>
    </xf>
    <xf xfId="0" numFmtId="4" applyNumberFormat="1" borderId="9" applyBorder="1" fontId="7" applyFont="1" fillId="0" applyAlignment="1">
      <alignment horizontal="right"/>
    </xf>
    <xf xfId="0" numFmtId="4" applyNumberFormat="1" borderId="10" applyBorder="1" fontId="7" applyFont="1" fillId="0" applyAlignment="1">
      <alignment horizontal="right"/>
    </xf>
    <xf xfId="0" numFmtId="3" applyNumberFormat="1" borderId="8" applyBorder="1" fontId="7" applyFont="1" fillId="0" applyAlignment="1">
      <alignment horizontal="right"/>
    </xf>
    <xf xfId="0" numFmtId="3" applyNumberFormat="1" borderId="9" applyBorder="1" fontId="7" applyFont="1" fillId="0" applyAlignment="1">
      <alignment horizontal="right"/>
    </xf>
    <xf xfId="0" numFmtId="3" applyNumberFormat="1" borderId="10" applyBorder="1" fontId="7" applyFont="1" fillId="0" applyAlignment="1">
      <alignment horizontal="right"/>
    </xf>
    <xf xfId="0" numFmtId="3" applyNumberFormat="1" borderId="66" applyBorder="1" fontId="7" applyFont="1" fillId="0" applyAlignment="1">
      <alignment horizontal="right"/>
    </xf>
    <xf xfId="0" numFmtId="165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5" applyNumberFormat="1" borderId="25" applyBorder="1" fontId="1" applyFont="1" fillId="2" applyFill="1" applyAlignment="1">
      <alignment horizontal="left"/>
    </xf>
    <xf xfId="0" numFmtId="0" borderId="43" applyBorder="1" fontId="1" applyFont="1" fillId="2" applyFill="1" applyAlignment="1">
      <alignment horizontal="left"/>
    </xf>
    <xf xfId="0" numFmtId="4" applyNumberFormat="1" borderId="43" applyBorder="1" fontId="4" applyFont="1" fillId="2" applyFill="1" applyAlignment="1">
      <alignment horizontal="right"/>
    </xf>
    <xf xfId="0" numFmtId="4" applyNumberFormat="1" borderId="26" applyBorder="1" fontId="4" applyFont="1" fillId="2" applyFill="1" applyAlignment="1">
      <alignment horizontal="right"/>
    </xf>
    <xf xfId="0" numFmtId="1" applyNumberFormat="1" borderId="25" applyBorder="1" fontId="4" applyFont="1" fillId="2" applyFill="1" applyAlignment="1">
      <alignment horizontal="right"/>
    </xf>
    <xf xfId="0" numFmtId="1" applyNumberFormat="1" borderId="43" applyBorder="1" fontId="4" applyFont="1" fillId="2" applyFill="1" applyAlignment="1">
      <alignment horizontal="right"/>
    </xf>
    <xf xfId="0" numFmtId="1" applyNumberFormat="1" borderId="26" applyBorder="1" fontId="4" applyFont="1" fillId="2" applyFill="1" applyAlignment="1">
      <alignment horizontal="right"/>
    </xf>
    <xf xfId="0" numFmtId="3" applyNumberFormat="1" borderId="74" applyBorder="1" fontId="4" applyFont="1" fillId="2" applyFill="1" applyAlignment="1">
      <alignment horizontal="right"/>
    </xf>
    <xf xfId="0" numFmtId="165" applyNumberFormat="1" borderId="1" applyBorder="1" fontId="25" applyFont="1" fillId="0" applyAlignment="1">
      <alignment horizontal="left"/>
    </xf>
    <xf xfId="0" numFmtId="0" borderId="1" applyBorder="1" fontId="25" applyFont="1" fillId="0" applyAlignment="1">
      <alignment horizontal="left"/>
    </xf>
    <xf xfId="0" numFmtId="4" applyNumberFormat="1" borderId="1" applyBorder="1" fontId="25" applyFont="1" fillId="0" applyAlignment="1">
      <alignment horizontal="left"/>
    </xf>
    <xf xfId="0" numFmtId="3" applyNumberFormat="1" borderId="1" applyBorder="1" fontId="25" applyFont="1" fillId="0" applyAlignment="1">
      <alignment horizontal="left"/>
    </xf>
    <xf xfId="0" numFmtId="3" applyNumberFormat="1" borderId="1" applyBorder="1" fontId="25" applyFont="1" fillId="0" applyAlignment="1">
      <alignment horizontal="right"/>
    </xf>
    <xf xfId="0" numFmtId="0" borderId="83" applyBorder="1" fontId="25" applyFont="1" fillId="0" applyAlignment="1">
      <alignment horizontal="left"/>
    </xf>
    <xf xfId="0" numFmtId="4" applyNumberFormat="1" borderId="83" applyBorder="1" fontId="25" applyFont="1" fillId="0" applyAlignment="1">
      <alignment horizontal="left"/>
    </xf>
    <xf xfId="0" numFmtId="3" applyNumberFormat="1" borderId="83" applyBorder="1" fontId="25" applyFont="1" fillId="0" applyAlignment="1">
      <alignment horizontal="right"/>
    </xf>
    <xf xfId="0" numFmtId="0" borderId="1" applyBorder="1" fontId="26" applyFont="1" fillId="0" applyAlignment="1">
      <alignment horizontal="left"/>
    </xf>
    <xf xfId="0" numFmtId="4" applyNumberFormat="1" borderId="1" applyBorder="1" fontId="26" applyFont="1" fillId="0" applyAlignment="1">
      <alignment horizontal="left"/>
    </xf>
    <xf xfId="0" numFmtId="3" applyNumberFormat="1" borderId="1" applyBorder="1" fontId="26" applyFont="1" fillId="0" applyAlignment="1">
      <alignment horizontal="right"/>
    </xf>
    <xf xfId="0" numFmtId="3" applyNumberFormat="1" borderId="1" applyBorder="1" fontId="27" applyFont="1" fillId="0" applyAlignment="1">
      <alignment horizontal="right"/>
    </xf>
    <xf xfId="0" numFmtId="4" applyNumberFormat="1" borderId="1" applyBorder="1" fontId="27" applyFont="1" fillId="0" applyAlignment="1">
      <alignment horizontal="left"/>
    </xf>
    <xf xfId="0" numFmtId="165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164" applyNumberFormat="1" borderId="29" applyBorder="1" fontId="15" applyFont="1" fillId="3" applyFill="1" applyAlignment="1">
      <alignment horizontal="left"/>
    </xf>
    <xf xfId="0" numFmtId="164" applyNumberFormat="1" borderId="27" applyBorder="1" fontId="1" applyFont="1" fillId="3" applyFill="1" applyAlignment="1">
      <alignment horizontal="center"/>
    </xf>
    <xf xfId="0" numFmtId="164" applyNumberFormat="1" borderId="30" applyBorder="1" fontId="2" applyFont="1" fillId="0" applyAlignment="1">
      <alignment horizontal="left"/>
    </xf>
    <xf xfId="0" numFmtId="164" applyNumberFormat="1" borderId="33" applyBorder="1" fontId="2" applyFont="1" fillId="0" applyAlignment="1">
      <alignment horizontal="left"/>
    </xf>
    <xf xfId="0" numFmtId="0" borderId="33" applyBorder="1" fontId="2" applyFont="1" fillId="5" applyFill="1" applyAlignment="1">
      <alignment horizontal="left"/>
    </xf>
    <xf xfId="0" numFmtId="0" borderId="34" applyBorder="1" fontId="3" applyFont="1" fillId="5" applyFill="1" applyAlignment="1">
      <alignment horizontal="left"/>
    </xf>
    <xf xfId="0" numFmtId="4" applyNumberFormat="1" borderId="84" applyBorder="1" fontId="3" applyFont="1" fillId="5" applyFill="1" applyAlignment="1">
      <alignment horizontal="right"/>
    </xf>
    <xf xfId="0" numFmtId="4" applyNumberFormat="1" borderId="6" applyBorder="1" fontId="3" applyFont="1" fillId="5" applyFill="1" applyAlignment="1">
      <alignment horizontal="right"/>
    </xf>
    <xf xfId="0" numFmtId="4" applyNumberFormat="1" borderId="85" applyBorder="1" fontId="15" applyFont="1" fillId="5" applyFill="1" applyAlignment="1">
      <alignment horizontal="right"/>
    </xf>
    <xf xfId="0" numFmtId="0" borderId="42" applyBorder="1" fontId="15" applyFont="1" fillId="5" applyFill="1" applyAlignment="1">
      <alignment horizontal="left"/>
    </xf>
    <xf xfId="0" numFmtId="164" applyNumberFormat="1" borderId="33" applyBorder="1" fontId="2" applyFont="1" fillId="5" applyFill="1" applyAlignment="1">
      <alignment horizontal="left"/>
    </xf>
    <xf xfId="0" numFmtId="164" applyNumberFormat="1" borderId="86" applyBorder="1" fontId="2" applyFont="1" fillId="0" applyAlignment="1">
      <alignment horizontal="left"/>
    </xf>
    <xf xfId="0" numFmtId="0" borderId="87" applyBorder="1" fontId="3" applyFont="1" fillId="0" applyAlignment="1">
      <alignment horizontal="left"/>
    </xf>
    <xf xfId="0" numFmtId="4" applyNumberFormat="1" borderId="55" applyBorder="1" fontId="3" applyFont="1" fillId="0" applyAlignment="1">
      <alignment horizontal="right"/>
    </xf>
    <xf xfId="0" numFmtId="164" applyNumberFormat="1" borderId="8" applyBorder="1" fontId="2" applyFont="1" fillId="0" applyAlignment="1">
      <alignment horizontal="left"/>
    </xf>
    <xf xfId="0" numFmtId="164" applyNumberFormat="1" borderId="25" applyBorder="1" fontId="3" applyFont="1" fillId="0" applyAlignment="1">
      <alignment horizontal="left"/>
    </xf>
    <xf xfId="0" numFmtId="0" borderId="88" applyBorder="1" fontId="3" applyFont="1" fillId="0" applyAlignment="1">
      <alignment horizontal="left"/>
    </xf>
    <xf xfId="0" numFmtId="4" applyNumberFormat="1" borderId="7" applyBorder="1" fontId="4" applyFont="1" fillId="0" applyAlignment="1">
      <alignment horizontal="right"/>
    </xf>
    <xf xfId="0" numFmtId="164" applyNumberFormat="1" borderId="1" applyBorder="1" fontId="3" applyFont="1" fillId="0" applyAlignment="1">
      <alignment horizontal="left"/>
    </xf>
    <xf xfId="0" numFmtId="0" borderId="67" applyBorder="1" fontId="3" applyFont="1" fillId="0" applyAlignment="1">
      <alignment horizontal="left"/>
    </xf>
    <xf xfId="0" numFmtId="0" borderId="9" applyBorder="1" fontId="3" applyFont="1" fillId="0" applyAlignment="1">
      <alignment horizontal="right"/>
    </xf>
    <xf xfId="0" numFmtId="4" applyNumberFormat="1" borderId="10" applyBorder="1" fontId="3" applyFont="1" fillId="0" applyAlignment="1">
      <alignment horizontal="right"/>
    </xf>
    <xf xfId="0" numFmtId="164" applyNumberFormat="1" borderId="2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7" applyNumberFormat="1" borderId="3" applyBorder="1" fontId="1" applyFont="1" fillId="2" applyFill="1" applyAlignment="1">
      <alignment horizontal="center"/>
    </xf>
    <xf xfId="0" numFmtId="4" applyNumberFormat="1" borderId="4" applyBorder="1" fontId="1" applyFont="1" fillId="2" applyFill="1" applyAlignment="1">
      <alignment horizontal="center"/>
    </xf>
    <xf xfId="0" numFmtId="3" applyNumberFormat="1" borderId="38" applyBorder="1" fontId="3" applyFont="1" fillId="2" applyFill="1" applyAlignment="1">
      <alignment horizontal="left"/>
    </xf>
    <xf xfId="0" numFmtId="3" applyNumberFormat="1" borderId="38" applyBorder="1" fontId="16" applyFont="1" fillId="2" applyFill="1" applyAlignment="1">
      <alignment horizontal="left"/>
    </xf>
    <xf xfId="0" numFmtId="164" applyNumberFormat="1" borderId="39" applyBorder="1" fontId="15" applyFont="1" fillId="2" applyFill="1" applyAlignment="1">
      <alignment horizontal="left"/>
    </xf>
    <xf xfId="0" numFmtId="164" applyNumberFormat="1" borderId="8" applyBorder="1" fontId="3" applyFont="1" fillId="2" applyFill="1" applyAlignment="1">
      <alignment horizontal="center"/>
    </xf>
    <xf xfId="0" numFmtId="164" applyNumberFormat="1" borderId="17" applyBorder="1" fontId="2" applyFont="1" fillId="0" applyAlignment="1">
      <alignment horizontal="left"/>
    </xf>
    <xf xfId="0" numFmtId="164" applyNumberFormat="1" borderId="5" applyBorder="1" fontId="2" applyFont="1" fillId="0" applyAlignment="1">
      <alignment horizontal="left"/>
    </xf>
    <xf xfId="0" numFmtId="4" applyNumberFormat="1" borderId="23" applyBorder="1" fontId="16" applyFont="1" fillId="0" applyAlignment="1">
      <alignment horizontal="right"/>
    </xf>
    <xf xfId="0" numFmtId="4" applyNumberFormat="1" borderId="23" applyBorder="1" fontId="17" applyFont="1" fillId="0" applyAlignment="1">
      <alignment horizontal="right"/>
    </xf>
    <xf xfId="0" numFmtId="4" applyNumberFormat="1" borderId="23" applyBorder="1" fontId="28" applyFont="1" fillId="0" applyAlignment="1">
      <alignment horizontal="right"/>
    </xf>
    <xf xfId="0" numFmtId="4" applyNumberFormat="1" borderId="7" applyBorder="1" fontId="2" applyFont="1" fillId="0" applyAlignment="1">
      <alignment horizontal="left"/>
    </xf>
    <xf xfId="0" numFmtId="3" applyNumberFormat="1" borderId="1" applyBorder="1" fontId="6" applyFont="1" fillId="0" applyAlignment="1">
      <alignment horizontal="center"/>
    </xf>
    <xf xfId="0" numFmtId="4" applyNumberFormat="1" borderId="9" applyBorder="1" fontId="16" applyFont="1" fillId="0" applyAlignment="1">
      <alignment horizontal="right"/>
    </xf>
    <xf xfId="0" numFmtId="164" applyNumberFormat="1" borderId="8" applyBorder="1" fontId="1" applyFont="1" fillId="2" applyFill="1" applyAlignment="1">
      <alignment horizontal="center"/>
    </xf>
    <xf xfId="0" numFmtId="0" borderId="88" applyBorder="1" fontId="2" applyFont="1" fillId="0" applyAlignment="1">
      <alignment horizontal="left"/>
    </xf>
    <xf xfId="0" numFmtId="0" borderId="35" applyBorder="1" fontId="3" applyFont="1" fillId="0" applyAlignment="1">
      <alignment horizontal="left"/>
    </xf>
    <xf xfId="0" numFmtId="164" applyNumberFormat="1" borderId="42" applyBorder="1" fontId="15" applyFont="1" fillId="2" applyFill="1" applyAlignment="1">
      <alignment horizontal="left"/>
    </xf>
    <xf xfId="0" numFmtId="164" applyNumberFormat="1" borderId="1" applyBorder="1" fontId="4" applyFont="1" fillId="0" applyAlignment="1">
      <alignment horizontal="left"/>
    </xf>
    <xf xfId="0" numFmtId="0" borderId="25" applyBorder="1" fontId="4" applyFont="1" fillId="0" applyAlignment="1">
      <alignment horizontal="left"/>
    </xf>
    <xf xfId="0" numFmtId="164" applyNumberFormat="1" borderId="25" applyBorder="1" fontId="2" applyFont="1" fillId="0" applyAlignment="1">
      <alignment horizontal="left"/>
    </xf>
    <xf xfId="0" numFmtId="164" applyNumberFormat="1" borderId="42" applyBorder="1" fontId="2" applyFont="1" fillId="2" applyFill="1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3" applyNumberFormat="1" borderId="43" applyBorder="1" fontId="3" applyFont="1" fillId="0" applyAlignment="1">
      <alignment horizontal="right"/>
    </xf>
    <xf xfId="0" numFmtId="4" applyNumberFormat="1" borderId="44" applyBorder="1" fontId="19" applyFont="1" fillId="0" applyAlignment="1">
      <alignment horizontal="left"/>
    </xf>
    <xf xfId="0" numFmtId="0" borderId="3" applyBorder="1" fontId="3" applyFont="1" fillId="0" applyAlignment="1">
      <alignment horizontal="right"/>
    </xf>
    <xf xfId="0" numFmtId="3" applyNumberFormat="1" borderId="3" applyBorder="1" fontId="3" applyFont="1" fillId="0" applyAlignment="1">
      <alignment horizontal="right"/>
    </xf>
    <xf xfId="0" numFmtId="4" applyNumberFormat="1" borderId="3" applyBorder="1" fontId="3" applyFont="1" fillId="0" applyAlignment="1">
      <alignment horizontal="left"/>
    </xf>
    <xf xfId="0" numFmtId="3" applyNumberFormat="1" borderId="4" applyBorder="1" fontId="15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7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3" applyNumberFormat="1" borderId="9" applyBorder="1" fontId="3" applyFont="1" fillId="0" applyAlignment="1">
      <alignment horizontal="right"/>
    </xf>
    <xf xfId="0" numFmtId="4" applyNumberFormat="1" borderId="9" applyBorder="1" fontId="3" applyFont="1" fillId="0" applyAlignment="1">
      <alignment horizontal="left"/>
    </xf>
    <xf xfId="0" numFmtId="3" applyNumberFormat="1" borderId="10" applyBorder="1" fontId="15" applyFont="1" fillId="0" applyAlignment="1">
      <alignment horizontal="right"/>
    </xf>
    <xf xfId="0" numFmtId="3" applyNumberFormat="1" borderId="8" applyBorder="1" fontId="2" applyFont="1" fillId="0" applyAlignment="1">
      <alignment horizontal="right"/>
    </xf>
    <xf xfId="0" numFmtId="0" borderId="42" applyBorder="1" fontId="3" applyFont="1" fillId="2" applyFill="1" applyAlignment="1">
      <alignment horizontal="right"/>
    </xf>
    <xf xfId="0" numFmtId="3" applyNumberFormat="1" borderId="44" applyBorder="1" fontId="3" applyFont="1" fillId="0" applyAlignment="1">
      <alignment horizontal="right"/>
    </xf>
    <xf xfId="0" numFmtId="3" applyNumberFormat="1" borderId="26" applyBorder="1" fontId="15" applyFont="1" fillId="0" applyAlignment="1">
      <alignment horizontal="right"/>
    </xf>
    <xf xfId="0" numFmtId="3" applyNumberFormat="1" borderId="25" applyBorder="1" fontId="2" applyFont="1" fillId="0" applyAlignment="1">
      <alignment horizontal="right"/>
    </xf>
    <xf xfId="0" numFmtId="164" applyNumberFormat="1" borderId="42" applyBorder="1" fontId="3" applyFont="1" fillId="2" applyFill="1" applyAlignment="1">
      <alignment horizontal="left"/>
    </xf>
    <xf xfId="0" numFmtId="4" applyNumberFormat="1" borderId="25" applyBorder="1" fontId="3" applyFont="1" fillId="0" applyAlignment="1">
      <alignment horizontal="right"/>
    </xf>
    <xf xfId="0" numFmtId="4" applyNumberFormat="1" borderId="43" applyBorder="1" fontId="2" applyFont="1" fillId="0" applyAlignment="1">
      <alignment horizontal="right"/>
    </xf>
    <xf xfId="0" numFmtId="4" applyNumberFormat="1" borderId="26" applyBorder="1" fontId="1" applyFont="1" fillId="0" applyAlignment="1">
      <alignment horizontal="right"/>
    </xf>
    <xf xfId="0" numFmtId="0" borderId="2" applyBorder="1" fontId="1" applyFont="1" fillId="4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3" applyNumberFormat="1" borderId="3" applyBorder="1" fontId="3" applyFont="1" fillId="4" applyFill="1" applyAlignment="1">
      <alignment horizontal="left"/>
    </xf>
    <xf xfId="0" numFmtId="4" applyNumberFormat="1" borderId="3" applyBorder="1" fontId="3" applyFont="1" fillId="4" applyFill="1" applyAlignment="1">
      <alignment horizontal="left"/>
    </xf>
    <xf xfId="0" numFmtId="164" applyNumberFormat="1" borderId="4" applyBorder="1" fontId="15" applyFont="1" fillId="4" applyFill="1" applyAlignment="1">
      <alignment horizontal="left"/>
    </xf>
    <xf xfId="0" numFmtId="164" applyNumberFormat="1" borderId="25" applyBorder="1" fontId="1" applyFont="1" fillId="4" applyFill="1" applyAlignment="1">
      <alignment horizontal="left"/>
    </xf>
    <xf xfId="0" numFmtId="0" borderId="26" applyBorder="1" fontId="1" applyFont="1" fillId="4" applyFill="1" applyAlignment="1">
      <alignment horizontal="center"/>
    </xf>
    <xf xfId="0" numFmtId="0" borderId="6" applyBorder="1" fontId="3" applyFont="1" fillId="0" applyAlignment="1">
      <alignment horizontal="right"/>
    </xf>
    <xf xfId="0" numFmtId="3" applyNumberFormat="1" borderId="6" applyBorder="1" fontId="3" applyFont="1" fillId="0" applyAlignment="1">
      <alignment horizontal="right"/>
    </xf>
    <xf xfId="0" numFmtId="4" applyNumberFormat="1" borderId="6" applyBorder="1" fontId="3" applyFont="1" fillId="0" applyAlignment="1">
      <alignment horizontal="left"/>
    </xf>
    <xf xfId="0" numFmtId="4" applyNumberFormat="1" borderId="17" applyBorder="1" fontId="3" applyFont="1" fillId="0" applyAlignment="1">
      <alignment horizontal="right"/>
    </xf>
    <xf xfId="0" numFmtId="0" borderId="19" applyBorder="1" fontId="3" applyFont="1" fillId="0" applyAlignment="1">
      <alignment horizontal="left"/>
    </xf>
    <xf xfId="0" numFmtId="0" borderId="9" applyBorder="1" fontId="20" applyFont="1" fillId="0" applyAlignment="1">
      <alignment horizontal="right"/>
    </xf>
    <xf xfId="0" numFmtId="164" applyNumberFormat="1" borderId="9" applyBorder="1" fontId="3" applyFont="1" fillId="0" applyAlignment="1">
      <alignment horizontal="right"/>
    </xf>
    <xf xfId="0" numFmtId="164" applyNumberFormat="1" borderId="10" applyBorder="1" fontId="15" applyFont="1" fillId="0" applyAlignment="1">
      <alignment horizontal="right"/>
    </xf>
    <xf xfId="0" numFmtId="164" applyNumberFormat="1" borderId="8" applyBorder="1" fontId="3" applyFont="1" fillId="0" applyAlignment="1">
      <alignment horizontal="right"/>
    </xf>
    <xf xfId="0" numFmtId="164" applyNumberFormat="1" borderId="0" fontId="0" fillId="0" applyAlignment="1">
      <alignment horizontal="right"/>
    </xf>
    <xf xfId="0" numFmtId="165" applyNumberFormat="1" borderId="1" applyBorder="1" fontId="29" applyFont="1" fillId="0" applyAlignment="1">
      <alignment horizontal="left"/>
    </xf>
    <xf xfId="0" numFmtId="4" applyNumberFormat="1" borderId="42" applyBorder="1" fontId="30" applyFont="1" fillId="6" applyFill="1" applyAlignment="1">
      <alignment horizontal="left"/>
    </xf>
    <xf xfId="0" numFmtId="3" applyNumberFormat="1" borderId="42" applyBorder="1" fontId="30" applyFont="1" fillId="6" applyFill="1" applyAlignment="1">
      <alignment horizontal="right"/>
    </xf>
    <xf xfId="0" numFmtId="4" applyNumberFormat="1" borderId="1" applyBorder="1" fontId="22" applyFont="1" fillId="0" applyAlignment="1">
      <alignment horizontal="right"/>
    </xf>
    <xf xfId="0" numFmtId="17" applyNumberFormat="1" borderId="1" applyBorder="1" fontId="22" applyFont="1" fillId="0" applyAlignment="1">
      <alignment horizontal="left"/>
    </xf>
    <xf xfId="0" numFmtId="0" borderId="1" applyBorder="1" fontId="31" applyFont="1" fillId="0" applyAlignment="1">
      <alignment horizontal="left"/>
    </xf>
    <xf xfId="0" numFmtId="4" applyNumberFormat="1" borderId="89" applyBorder="1" fontId="29" applyFont="1" fillId="0" applyAlignment="1">
      <alignment horizontal="center"/>
    </xf>
    <xf xfId="0" numFmtId="4" applyNumberFormat="1" borderId="90" applyBorder="1" fontId="29" applyFont="1" fillId="0" applyAlignment="1">
      <alignment horizontal="center"/>
    </xf>
    <xf xfId="0" numFmtId="4" applyNumberFormat="1" borderId="91" applyBorder="1" fontId="29" applyFont="1" fillId="0" applyAlignment="1">
      <alignment horizontal="center"/>
    </xf>
    <xf xfId="0" numFmtId="0" borderId="1" applyBorder="1" fontId="29" applyFont="1" fillId="0" applyAlignment="1">
      <alignment horizontal="center"/>
    </xf>
    <xf xfId="0" numFmtId="4" applyNumberFormat="1" borderId="92" applyBorder="1" fontId="29" applyFont="1" fillId="0" applyAlignment="1">
      <alignment horizontal="center"/>
    </xf>
    <xf xfId="0" numFmtId="0" borderId="1" applyBorder="1" fontId="32" applyFont="1" fillId="0" applyAlignment="1">
      <alignment horizontal="left"/>
    </xf>
    <xf xfId="0" numFmtId="4" applyNumberFormat="1" borderId="1" applyBorder="1" fontId="22" applyFont="1" fillId="0" applyAlignment="1">
      <alignment horizontal="center"/>
    </xf>
    <xf xfId="0" numFmtId="4" applyNumberFormat="1" borderId="1" applyBorder="1" fontId="33" applyFont="1" fillId="0" applyAlignment="1">
      <alignment horizontal="center"/>
    </xf>
    <xf xfId="0" numFmtId="4" applyNumberFormat="1" borderId="1" applyBorder="1" fontId="34" applyFont="1" fillId="0" applyAlignment="1">
      <alignment horizontal="center"/>
    </xf>
    <xf xfId="0" numFmtId="4" applyNumberFormat="1" borderId="93" applyBorder="1" fontId="29" applyFont="1" fillId="0" applyAlignment="1">
      <alignment horizontal="center"/>
    </xf>
    <xf xfId="0" numFmtId="4" applyNumberFormat="1" borderId="94" applyBorder="1" fontId="29" applyFont="1" fillId="0" applyAlignment="1">
      <alignment horizontal="center"/>
    </xf>
    <xf xfId="0" numFmtId="4" applyNumberFormat="1" borderId="94" applyBorder="1" fontId="29" applyFont="1" fillId="3" applyFill="1" applyAlignment="1">
      <alignment horizontal="center"/>
    </xf>
    <xf xfId="0" numFmtId="4" applyNumberFormat="1" borderId="94" applyBorder="1" fontId="30" applyFont="1" fillId="0" applyAlignment="1">
      <alignment horizontal="center"/>
    </xf>
    <xf xfId="0" numFmtId="4" applyNumberFormat="1" borderId="95" applyBorder="1" fontId="34" applyFont="1" fillId="3" applyFill="1" applyAlignment="1">
      <alignment horizontal="center"/>
    </xf>
    <xf xfId="0" numFmtId="4" applyNumberFormat="1" borderId="1" applyBorder="1" fontId="29" applyFont="1" fillId="0" applyAlignment="1">
      <alignment horizontal="center"/>
    </xf>
    <xf xfId="0" numFmtId="165" applyNumberFormat="1" borderId="1" applyBorder="1" fontId="22" applyFont="1" fillId="0" applyAlignment="1">
      <alignment horizontal="right"/>
    </xf>
    <xf xfId="0" numFmtId="4" applyNumberFormat="1" borderId="1" applyBorder="1" fontId="32" applyFont="1" fillId="0" applyAlignment="1">
      <alignment horizontal="right"/>
    </xf>
    <xf xfId="0" numFmtId="7" applyNumberFormat="1" borderId="96" applyBorder="1" fontId="22" applyFont="1" fillId="0" applyAlignment="1">
      <alignment horizontal="right"/>
    </xf>
    <xf xfId="0" numFmtId="4" applyNumberFormat="1" borderId="6" applyBorder="1" fontId="22" applyFont="1" fillId="0" applyAlignment="1">
      <alignment horizontal="right"/>
    </xf>
    <xf xfId="0" numFmtId="4" applyNumberFormat="1" borderId="6" applyBorder="1" fontId="22" applyFont="1" fillId="3" applyFill="1" applyAlignment="1">
      <alignment horizontal="right"/>
    </xf>
    <xf xfId="0" numFmtId="4" applyNumberFormat="1" borderId="97" applyBorder="1" fontId="22" applyFont="1" fillId="3" applyFill="1" applyAlignment="1">
      <alignment horizontal="right"/>
    </xf>
    <xf xfId="0" numFmtId="4" applyNumberFormat="1" borderId="93" applyBorder="1" fontId="22" applyFont="1" fillId="0" applyAlignment="1">
      <alignment horizontal="right"/>
    </xf>
    <xf xfId="0" numFmtId="4" applyNumberFormat="1" borderId="94" applyBorder="1" fontId="22" applyFont="1" fillId="0" applyAlignment="1">
      <alignment horizontal="right"/>
    </xf>
    <xf xfId="0" numFmtId="4" applyNumberFormat="1" borderId="95" applyBorder="1" fontId="35" applyFont="1" fillId="0" applyAlignment="1">
      <alignment horizontal="right"/>
    </xf>
    <xf xfId="0" numFmtId="165" applyNumberFormat="1" borderId="42" applyBorder="1" fontId="30" applyFont="1" fillId="6" applyFill="1" applyAlignment="1">
      <alignment horizontal="left"/>
    </xf>
    <xf xfId="0" numFmtId="0" borderId="1" applyBorder="1" fontId="32" applyFont="1" fillId="0" applyAlignment="1">
      <alignment horizontal="left"/>
    </xf>
    <xf xfId="0" numFmtId="4" applyNumberFormat="1" borderId="96" applyBorder="1" fontId="22" applyFont="1" fillId="0" applyAlignment="1">
      <alignment horizontal="right"/>
    </xf>
    <xf xfId="0" numFmtId="7" applyNumberFormat="1" borderId="6" applyBorder="1" fontId="22" applyFont="1" fillId="0" applyAlignment="1">
      <alignment horizontal="right"/>
    </xf>
    <xf xfId="0" numFmtId="4" applyNumberFormat="1" borderId="6" applyBorder="1" fontId="36" applyFont="1" fillId="0" applyAlignment="1">
      <alignment horizontal="right"/>
    </xf>
    <xf xfId="0" numFmtId="4" applyNumberFormat="1" borderId="97" applyBorder="1" fontId="35" applyFont="1" fillId="0" applyAlignment="1">
      <alignment horizontal="right"/>
    </xf>
    <xf xfId="0" numFmtId="165" applyNumberFormat="1" borderId="1" applyBorder="1" fontId="22" applyFont="1" fillId="0" applyAlignment="1">
      <alignment horizontal="left"/>
    </xf>
    <xf xfId="0" numFmtId="4" applyNumberFormat="1" borderId="6" applyBorder="1" fontId="34" applyFont="1" fillId="0" applyAlignment="1">
      <alignment horizontal="right"/>
    </xf>
    <xf xfId="0" numFmtId="4" applyNumberFormat="1" borderId="1" applyBorder="1" fontId="37" applyFont="1" fillId="0" applyAlignment="1">
      <alignment horizontal="center"/>
    </xf>
    <xf xfId="0" numFmtId="4" applyNumberFormat="1" borderId="1" applyBorder="1" fontId="35" applyFont="1" fillId="0" applyAlignment="1">
      <alignment horizontal="center"/>
    </xf>
    <xf xfId="0" numFmtId="166" applyNumberFormat="1" borderId="6" applyBorder="1" fontId="22" applyFont="1" fillId="0" applyAlignment="1">
      <alignment horizontal="right"/>
    </xf>
    <xf xfId="0" numFmtId="7" applyNumberFormat="1" borderId="6" applyBorder="1" fontId="22" applyFont="1" fillId="3" applyFill="1" applyAlignment="1">
      <alignment horizontal="right"/>
    </xf>
    <xf xfId="0" numFmtId="4" applyNumberFormat="1" borderId="1" applyBorder="1" fontId="38" applyFont="1" fillId="0" applyAlignment="1">
      <alignment horizontal="right"/>
    </xf>
    <xf xfId="0" numFmtId="7" applyNumberFormat="1" borderId="98" applyBorder="1" fontId="22" applyFont="1" fillId="0" applyAlignment="1">
      <alignment horizontal="right"/>
    </xf>
    <xf xfId="0" numFmtId="4" applyNumberFormat="1" borderId="99" applyBorder="1" fontId="22" applyFont="1" fillId="0" applyAlignment="1">
      <alignment horizontal="right"/>
    </xf>
    <xf xfId="0" numFmtId="4" applyNumberFormat="1" borderId="99" applyBorder="1" fontId="22" applyFont="1" fillId="3" applyFill="1" applyAlignment="1">
      <alignment horizontal="right"/>
    </xf>
    <xf xfId="0" numFmtId="4" applyNumberFormat="1" borderId="98" applyBorder="1" fontId="22" applyFont="1" fillId="0" applyAlignment="1">
      <alignment horizontal="right"/>
    </xf>
    <xf xfId="0" numFmtId="4" applyNumberFormat="1" borderId="100" applyBorder="1" fontId="35" applyFont="1" fillId="0" applyAlignment="1">
      <alignment horizontal="right"/>
    </xf>
    <xf xfId="0" numFmtId="16" applyNumberFormat="1" borderId="1" applyBorder="1" fontId="22" applyFont="1" fillId="0" applyAlignment="1">
      <alignment horizontal="left"/>
    </xf>
    <xf xfId="0" numFmtId="4" applyNumberFormat="1" borderId="101" applyBorder="1" fontId="22" applyFont="1" fillId="0" applyAlignment="1">
      <alignment horizontal="right"/>
    </xf>
    <xf xfId="0" numFmtId="4" applyNumberFormat="1" borderId="102" applyBorder="1" fontId="22" applyFont="1" fillId="3" applyFill="1" applyAlignment="1">
      <alignment horizontal="right"/>
    </xf>
    <xf xfId="0" numFmtId="4" applyNumberFormat="1" borderId="103" applyBorder="1" fontId="34" applyFont="1" fillId="0" applyAlignment="1">
      <alignment horizontal="right"/>
    </xf>
    <xf xfId="0" numFmtId="4" applyNumberFormat="1" borderId="1" applyBorder="1" fontId="34" applyFont="1" fillId="0" applyAlignment="1">
      <alignment horizontal="right"/>
    </xf>
    <xf xfId="0" numFmtId="4" applyNumberFormat="1" borderId="1" applyBorder="1" fontId="22" applyFont="1" fillId="0" applyAlignment="1">
      <alignment horizontal="left"/>
    </xf>
    <xf xfId="0" numFmtId="4" applyNumberFormat="1" borderId="1" applyBorder="1" fontId="39" applyFont="1" fillId="0" applyAlignment="1">
      <alignment horizontal="right"/>
    </xf>
    <xf xfId="0" numFmtId="4" applyNumberFormat="1" borderId="1" applyBorder="1" fontId="35" applyFont="1" fillId="0" applyAlignment="1">
      <alignment horizontal="right"/>
    </xf>
    <xf xfId="0" numFmtId="4" applyNumberFormat="1" borderId="1" applyBorder="1" fontId="40" applyFont="1" fillId="0" applyAlignment="1">
      <alignment horizontal="right"/>
    </xf>
    <xf xfId="0" numFmtId="4" applyNumberFormat="1" borderId="1" applyBorder="1" fontId="41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sharedStrings.xml" Type="http://schemas.openxmlformats.org/officeDocument/2006/relationships/sharedStrings" Id="rId9"/><Relationship Target="styles.xml" Type="http://schemas.openxmlformats.org/officeDocument/2006/relationships/styles" Id="rId10"/><Relationship Target="theme/theme1.xml" Type="http://schemas.openxmlformats.org/officeDocument/2006/relationships/theme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03"/>
  <sheetViews>
    <sheetView workbookViewId="0"/>
  </sheetViews>
  <sheetFormatPr defaultRowHeight="15" x14ac:dyDescent="0.25"/>
  <cols>
    <col min="1" max="1" style="356" width="10.147857142857141" customWidth="1" bestFit="1"/>
    <col min="2" max="2" style="23" width="4.576428571428571" customWidth="1" bestFit="1"/>
    <col min="3" max="3" style="27" width="11.862142857142858" customWidth="1" bestFit="1"/>
    <col min="4" max="4" style="27" width="10.719285714285713" customWidth="1" bestFit="1"/>
    <col min="5" max="5" style="27" width="11.290714285714287" customWidth="1" bestFit="1"/>
    <col min="6" max="6" style="27" width="10.719285714285713" customWidth="1" bestFit="1"/>
    <col min="7" max="7" style="27" width="10.719285714285713" customWidth="1" bestFit="1"/>
    <col min="8" max="8" style="27" width="10.719285714285713" customWidth="1" bestFit="1"/>
    <col min="9" max="9" style="27" width="10.719285714285713" customWidth="1" bestFit="1"/>
    <col min="10" max="10" style="27" width="11.862142857142858" customWidth="1" bestFit="1"/>
    <col min="11" max="11" style="27" width="11.290714285714287" customWidth="1" bestFit="1"/>
    <col min="12" max="12" style="27" width="12.290714285714287" customWidth="1" bestFit="1"/>
    <col min="13" max="13" style="27" width="13.43357142857143" customWidth="1" bestFit="1"/>
    <col min="14" max="14" style="23" width="4.147857142857143" customWidth="1" bestFit="1"/>
    <col min="15" max="15" style="27" width="13.862142857142858" customWidth="1" bestFit="1"/>
    <col min="16" max="16" style="27" width="12.290714285714287" customWidth="1" bestFit="1"/>
    <col min="17" max="17" style="27" width="12.43357142857143" customWidth="1" bestFit="1"/>
    <col min="18" max="18" style="27" width="13.576428571428572" customWidth="1" bestFit="1"/>
    <col min="19" max="19" style="23" width="4.433571428571429" customWidth="1" bestFit="1"/>
    <col min="20" max="20" style="27" width="15.005" customWidth="1" bestFit="1"/>
    <col min="21" max="21" style="23" width="8.862142857142858" customWidth="1" bestFit="1"/>
    <col min="22" max="22" style="23" width="10.290714285714287" customWidth="1" bestFit="1"/>
  </cols>
  <sheetData>
    <row x14ac:dyDescent="0.25" r="1" customHeight="1" ht="18.75">
      <c r="A1" s="446" t="s">
        <v>210</v>
      </c>
      <c r="B1" s="6"/>
      <c r="C1" s="447" t="s">
        <v>211</v>
      </c>
      <c r="D1" s="448">
        <v>2024</v>
      </c>
      <c r="E1" s="5"/>
      <c r="F1" s="5"/>
      <c r="G1" s="449"/>
      <c r="H1" s="5"/>
      <c r="I1" s="5"/>
      <c r="J1" s="5"/>
      <c r="K1" s="5"/>
      <c r="L1" s="5"/>
      <c r="M1" s="5"/>
      <c r="N1" s="6"/>
      <c r="O1" s="5"/>
      <c r="P1" s="5"/>
      <c r="Q1" s="5"/>
      <c r="R1" s="5"/>
      <c r="S1" s="6"/>
      <c r="T1" s="5"/>
      <c r="U1" s="6"/>
      <c r="V1" s="6"/>
    </row>
    <row x14ac:dyDescent="0.25" r="2" customHeight="1" ht="18.75">
      <c r="A2" s="332"/>
      <c r="B2" s="6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  <c r="P2" s="5"/>
      <c r="Q2" s="5"/>
      <c r="R2" s="5"/>
      <c r="S2" s="6"/>
      <c r="T2" s="5"/>
      <c r="U2" s="6"/>
      <c r="V2" s="6"/>
    </row>
    <row x14ac:dyDescent="0.25" r="3" customHeight="1" ht="18.75">
      <c r="A3" s="450"/>
      <c r="B3" s="6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6"/>
      <c r="O3" s="5"/>
      <c r="P3" s="5"/>
      <c r="Q3" s="5"/>
      <c r="R3" s="5"/>
      <c r="S3" s="6"/>
      <c r="T3" s="5"/>
      <c r="U3" s="6"/>
      <c r="V3" s="6"/>
    </row>
    <row x14ac:dyDescent="0.25" r="4" customHeight="1" ht="18.75">
      <c r="A4" s="332"/>
      <c r="B4" s="451"/>
      <c r="C4" s="452" t="s">
        <v>212</v>
      </c>
      <c r="D4" s="453"/>
      <c r="E4" s="453"/>
      <c r="F4" s="453"/>
      <c r="G4" s="453"/>
      <c r="H4" s="453"/>
      <c r="I4" s="453"/>
      <c r="J4" s="453"/>
      <c r="K4" s="453"/>
      <c r="L4" s="453"/>
      <c r="M4" s="454"/>
      <c r="N4" s="455"/>
      <c r="O4" s="452" t="s">
        <v>213</v>
      </c>
      <c r="P4" s="453"/>
      <c r="Q4" s="453"/>
      <c r="R4" s="454"/>
      <c r="S4" s="455"/>
      <c r="T4" s="456" t="s">
        <v>214</v>
      </c>
      <c r="U4" s="6"/>
      <c r="V4" s="6"/>
    </row>
    <row x14ac:dyDescent="0.25" r="5" customHeight="1" ht="18.75">
      <c r="A5" s="332"/>
      <c r="B5" s="457"/>
      <c r="C5" s="458"/>
      <c r="D5" s="458"/>
      <c r="E5" s="458" t="s">
        <v>215</v>
      </c>
      <c r="F5" s="458" t="s">
        <v>216</v>
      </c>
      <c r="G5" s="458" t="s">
        <v>217</v>
      </c>
      <c r="H5" s="458" t="s">
        <v>217</v>
      </c>
      <c r="I5" s="459" t="s">
        <v>218</v>
      </c>
      <c r="J5" s="459" t="s">
        <v>219</v>
      </c>
      <c r="K5" s="459" t="s">
        <v>220</v>
      </c>
      <c r="L5" s="458" t="s">
        <v>221</v>
      </c>
      <c r="M5" s="460" t="s">
        <v>221</v>
      </c>
      <c r="N5" s="6"/>
      <c r="O5" s="458"/>
      <c r="P5" s="460" t="s">
        <v>222</v>
      </c>
      <c r="Q5" s="458"/>
      <c r="R5" s="458"/>
      <c r="S5" s="6"/>
      <c r="T5" s="5"/>
      <c r="U5" s="6"/>
      <c r="V5" s="6"/>
    </row>
    <row x14ac:dyDescent="0.25" r="6" customHeight="1" ht="18.75">
      <c r="A6" s="332"/>
      <c r="B6" s="451"/>
      <c r="C6" s="461" t="s">
        <v>217</v>
      </c>
      <c r="D6" s="462" t="s">
        <v>218</v>
      </c>
      <c r="E6" s="463" t="s">
        <v>223</v>
      </c>
      <c r="F6" s="463" t="s">
        <v>223</v>
      </c>
      <c r="G6" s="462" t="s">
        <v>224</v>
      </c>
      <c r="H6" s="462" t="s">
        <v>225</v>
      </c>
      <c r="I6" s="464" t="s">
        <v>223</v>
      </c>
      <c r="J6" s="464" t="s">
        <v>223</v>
      </c>
      <c r="K6" s="464" t="s">
        <v>226</v>
      </c>
      <c r="L6" s="463" t="s">
        <v>227</v>
      </c>
      <c r="M6" s="465" t="s">
        <v>228</v>
      </c>
      <c r="N6" s="455"/>
      <c r="O6" s="466" t="s">
        <v>229</v>
      </c>
      <c r="P6" s="460" t="s">
        <v>230</v>
      </c>
      <c r="Q6" s="466" t="s">
        <v>231</v>
      </c>
      <c r="R6" s="466" t="s">
        <v>227</v>
      </c>
      <c r="S6" s="455"/>
      <c r="T6" s="5"/>
      <c r="U6" s="6"/>
      <c r="V6" s="6"/>
    </row>
    <row x14ac:dyDescent="0.25" r="7" customHeight="1" ht="18.75">
      <c r="A7" s="467" t="s">
        <v>232</v>
      </c>
      <c r="B7" s="468"/>
      <c r="C7" s="469"/>
      <c r="D7" s="470"/>
      <c r="E7" s="471"/>
      <c r="F7" s="471"/>
      <c r="G7" s="470"/>
      <c r="H7" s="470"/>
      <c r="I7" s="470"/>
      <c r="J7" s="470"/>
      <c r="K7" s="470"/>
      <c r="L7" s="471"/>
      <c r="M7" s="472"/>
      <c r="N7" s="458"/>
      <c r="O7" s="473"/>
      <c r="P7" s="474"/>
      <c r="Q7" s="474"/>
      <c r="R7" s="475"/>
      <c r="S7" s="458"/>
      <c r="T7" s="449"/>
      <c r="U7" s="449"/>
      <c r="V7" s="449"/>
    </row>
    <row x14ac:dyDescent="0.25" r="8" customHeight="1" ht="18.75">
      <c r="A8" s="476">
        <v>45444</v>
      </c>
      <c r="B8" s="477">
        <f>TEXT(A8, "0")</f>
      </c>
      <c r="C8" s="478">
        <f>TRANSPOSE(Pool!C33:AG33)</f>
      </c>
      <c r="D8" s="470">
        <f>'Box Canon'!C18+'Box Canon'!C19</f>
      </c>
      <c r="E8" s="471"/>
      <c r="F8" s="471"/>
      <c r="G8" s="470">
        <f>TRANSPOSE(Pool!C34:AG34)</f>
      </c>
      <c r="H8" s="470">
        <f>TRANSPOSE(Pool!C35:AG35)</f>
      </c>
      <c r="I8" s="470">
        <f>'Box Canon'!C20+'Box Canon'!C21</f>
      </c>
      <c r="J8" s="479"/>
      <c r="K8" s="479"/>
      <c r="L8" s="471"/>
      <c r="M8" s="472"/>
      <c r="N8" s="458"/>
      <c r="O8" s="478"/>
      <c r="P8" s="470"/>
      <c r="Q8" s="480"/>
      <c r="R8" s="481"/>
      <c r="S8" s="458"/>
      <c r="T8" s="449"/>
      <c r="U8" s="449"/>
      <c r="V8" s="449"/>
    </row>
    <row x14ac:dyDescent="0.25" r="9" customHeight="1" ht="18.75">
      <c r="A9" s="482">
        <f>SUM(A8+1)</f>
        <v>25568.708333333332</v>
      </c>
      <c r="B9" s="477">
        <f>TEXT(A9, "0")</f>
      </c>
      <c r="C9" s="478">
        <v>2855.55</v>
      </c>
      <c r="D9" s="470">
        <f>'Box Canon'!D18+'Box Canon'!D19</f>
      </c>
      <c r="E9" s="471"/>
      <c r="F9" s="471"/>
      <c r="G9" s="470">
        <v>13961.3</v>
      </c>
      <c r="H9" s="470">
        <v>0</v>
      </c>
      <c r="I9" s="470">
        <f>'Box Canon'!D20+'Box Canon'!D21</f>
      </c>
      <c r="J9" s="479"/>
      <c r="K9" s="479"/>
      <c r="L9" s="471"/>
      <c r="M9" s="472"/>
      <c r="N9" s="458"/>
      <c r="O9" s="478"/>
      <c r="P9" s="483"/>
      <c r="Q9" s="480"/>
      <c r="R9" s="481"/>
      <c r="S9" s="458"/>
      <c r="T9" s="449"/>
      <c r="U9" s="449"/>
      <c r="V9" s="449"/>
    </row>
    <row x14ac:dyDescent="0.25" r="10" customHeight="1" ht="18.75">
      <c r="A10" s="482">
        <f>SUM(A9+1)</f>
        <v>25568.708333333332</v>
      </c>
      <c r="B10" s="477">
        <f>TEXT(A10, "0")</f>
      </c>
      <c r="C10" s="478">
        <v>1093.74</v>
      </c>
      <c r="D10" s="470">
        <f>'Box Canon'!E18+'Box Canon'!E19</f>
      </c>
      <c r="E10" s="471"/>
      <c r="F10" s="471"/>
      <c r="G10" s="470">
        <v>8662.05</v>
      </c>
      <c r="H10" s="470">
        <v>0</v>
      </c>
      <c r="I10" s="470">
        <f>'Box Canon'!E20+'Box Canon'!E21</f>
      </c>
      <c r="J10" s="479"/>
      <c r="K10" s="479"/>
      <c r="L10" s="471"/>
      <c r="M10" s="472"/>
      <c r="N10" s="458"/>
      <c r="O10" s="478"/>
      <c r="P10" s="470"/>
      <c r="Q10" s="480"/>
      <c r="R10" s="481"/>
      <c r="S10" s="458"/>
      <c r="T10" s="449"/>
      <c r="U10" s="449"/>
      <c r="V10" s="449"/>
    </row>
    <row x14ac:dyDescent="0.25" r="11" customHeight="1" ht="18.75">
      <c r="A11" s="482">
        <f>SUM(A10+1)</f>
        <v>25568.708333333332</v>
      </c>
      <c r="B11" s="477">
        <f>TEXT(A11, "0")</f>
      </c>
      <c r="C11" s="478">
        <v>1941.29</v>
      </c>
      <c r="D11" s="470">
        <f>'Box Canon'!F18+'Box Canon'!F19</f>
      </c>
      <c r="E11" s="471"/>
      <c r="F11" s="471"/>
      <c r="G11" s="470">
        <v>10176.8</v>
      </c>
      <c r="H11" s="185">
        <v>0</v>
      </c>
      <c r="I11" s="470">
        <f>'Box Canon'!F20+'Box Canon'!F21</f>
      </c>
      <c r="J11" s="479"/>
      <c r="K11" s="479"/>
      <c r="L11" s="471"/>
      <c r="M11" s="472"/>
      <c r="N11" s="458"/>
      <c r="O11" s="478"/>
      <c r="P11" s="470"/>
      <c r="Q11" s="470"/>
      <c r="R11" s="481"/>
      <c r="S11" s="458"/>
      <c r="T11" s="449"/>
      <c r="U11" s="449"/>
      <c r="V11" s="449"/>
    </row>
    <row x14ac:dyDescent="0.25" r="12" customHeight="1" ht="18.75">
      <c r="A12" s="482">
        <f>SUM(A11+1)</f>
        <v>25568.708333333332</v>
      </c>
      <c r="B12" s="477">
        <f>TEXT(A12, "0")</f>
      </c>
      <c r="C12" s="478">
        <v>1355.43</v>
      </c>
      <c r="D12" s="470">
        <f>'Box Canon'!G18+'Box Canon'!G19</f>
      </c>
      <c r="E12" s="471"/>
      <c r="F12" s="471"/>
      <c r="G12" s="470">
        <v>10624.87</v>
      </c>
      <c r="H12" s="185">
        <v>0</v>
      </c>
      <c r="I12" s="470">
        <f>'Box Canon'!G20+'Box Canon'!G21</f>
      </c>
      <c r="J12" s="479"/>
      <c r="K12" s="479"/>
      <c r="L12" s="471"/>
      <c r="M12" s="472"/>
      <c r="N12" s="484"/>
      <c r="O12" s="478"/>
      <c r="P12" s="470"/>
      <c r="Q12" s="470"/>
      <c r="R12" s="481"/>
      <c r="S12" s="458"/>
      <c r="T12" s="449"/>
      <c r="U12" s="449"/>
      <c r="V12" s="449"/>
    </row>
    <row x14ac:dyDescent="0.25" r="13" customHeight="1" ht="18.75">
      <c r="A13" s="482">
        <f>SUM(A12+1)</f>
        <v>25568.708333333332</v>
      </c>
      <c r="B13" s="477">
        <f>TEXT(A13, "0")</f>
      </c>
      <c r="C13" s="478">
        <v>1501.5</v>
      </c>
      <c r="D13" s="470">
        <f>'Box Canon'!H18+'Box Canon'!H19</f>
      </c>
      <c r="E13" s="471"/>
      <c r="F13" s="471"/>
      <c r="G13" s="470">
        <v>11740.74</v>
      </c>
      <c r="H13" s="185">
        <v>0</v>
      </c>
      <c r="I13" s="470">
        <f>'Box Canon'!H20+'Box Canon'!H21</f>
      </c>
      <c r="J13" s="479"/>
      <c r="K13" s="479"/>
      <c r="L13" s="471"/>
      <c r="M13" s="472"/>
      <c r="N13" s="458"/>
      <c r="O13" s="478"/>
      <c r="P13" s="470"/>
      <c r="Q13" s="470"/>
      <c r="R13" s="481"/>
      <c r="S13" s="485"/>
      <c r="T13" s="449"/>
      <c r="U13" s="449"/>
      <c r="V13" s="449"/>
    </row>
    <row x14ac:dyDescent="0.25" r="14" customHeight="1" ht="18.75">
      <c r="A14" s="482">
        <f>SUM(A13+1)</f>
        <v>25568.708333333332</v>
      </c>
      <c r="B14" s="477">
        <f>TEXT(A14, "0")</f>
      </c>
      <c r="C14" s="478">
        <v>1660.49</v>
      </c>
      <c r="D14" s="470">
        <f>'Box Canon'!I18+'Box Canon'!I19</f>
      </c>
      <c r="E14" s="471"/>
      <c r="F14" s="471"/>
      <c r="G14" s="470">
        <v>10374.01</v>
      </c>
      <c r="H14" s="185">
        <v>0</v>
      </c>
      <c r="I14" s="470">
        <f>'Box Canon'!I20+'Box Canon'!I21</f>
      </c>
      <c r="J14" s="479"/>
      <c r="K14" s="479"/>
      <c r="L14" s="471"/>
      <c r="M14" s="472"/>
      <c r="N14" s="458"/>
      <c r="O14" s="478"/>
      <c r="P14" s="470"/>
      <c r="Q14" s="470"/>
      <c r="R14" s="481"/>
      <c r="S14" s="458"/>
      <c r="T14" s="449"/>
      <c r="U14" s="449"/>
      <c r="V14" s="449"/>
    </row>
    <row x14ac:dyDescent="0.25" r="15" customHeight="1" ht="18.75">
      <c r="A15" s="482">
        <f>SUM(A14+1)</f>
        <v>25568.708333333332</v>
      </c>
      <c r="B15" s="477">
        <f>TEXT(A15, "0")</f>
      </c>
      <c r="C15" s="478">
        <v>2024.67</v>
      </c>
      <c r="D15" s="470">
        <f>'Box Canon'!J18+'Box Canon'!J19</f>
      </c>
      <c r="E15" s="471"/>
      <c r="F15" s="471"/>
      <c r="G15" s="470">
        <v>17569.75</v>
      </c>
      <c r="H15" s="185">
        <v>0</v>
      </c>
      <c r="I15" s="470">
        <f>'Box Canon'!J20+'Box Canon'!J21</f>
      </c>
      <c r="J15" s="479"/>
      <c r="K15" s="479"/>
      <c r="L15" s="471"/>
      <c r="M15" s="472"/>
      <c r="N15" s="484"/>
      <c r="O15" s="478"/>
      <c r="P15" s="470"/>
      <c r="Q15" s="470"/>
      <c r="R15" s="481"/>
      <c r="S15" s="458"/>
      <c r="T15" s="449"/>
      <c r="U15" s="449"/>
      <c r="V15" s="449"/>
    </row>
    <row x14ac:dyDescent="0.25" r="16" customHeight="1" ht="18.75">
      <c r="A16" s="482">
        <f>SUM(A15+1)</f>
        <v>25568.708333333332</v>
      </c>
      <c r="B16" s="477">
        <f>TEXT(A16, "0")</f>
      </c>
      <c r="C16" s="478">
        <v>3342.37</v>
      </c>
      <c r="D16" s="470">
        <f>'Box Canon'!K18+'Box Canon'!K19</f>
      </c>
      <c r="E16" s="471"/>
      <c r="F16" s="471"/>
      <c r="G16" s="470">
        <v>13094.41</v>
      </c>
      <c r="H16" s="185">
        <v>0</v>
      </c>
      <c r="I16" s="470">
        <f>'Box Canon'!K20+'Box Canon'!K21</f>
      </c>
      <c r="J16" s="479"/>
      <c r="K16" s="479"/>
      <c r="L16" s="471"/>
      <c r="M16" s="472"/>
      <c r="N16" s="458"/>
      <c r="O16" s="478"/>
      <c r="P16" s="470"/>
      <c r="Q16" s="470"/>
      <c r="R16" s="481"/>
      <c r="S16" s="458"/>
      <c r="T16" s="449"/>
      <c r="U16" s="449"/>
      <c r="V16" s="449"/>
    </row>
    <row x14ac:dyDescent="0.25" r="17" customHeight="1" ht="18.75">
      <c r="A17" s="482">
        <f>SUM(A16+1)</f>
        <v>25568.708333333332</v>
      </c>
      <c r="B17" s="477">
        <f>TEXT(A17, "0")</f>
      </c>
      <c r="C17" s="478">
        <v>1274.99</v>
      </c>
      <c r="D17" s="470">
        <f>'Box Canon'!L18+'Box Canon'!L19</f>
      </c>
      <c r="E17" s="471"/>
      <c r="F17" s="471"/>
      <c r="G17" s="470">
        <v>9699.67</v>
      </c>
      <c r="H17" s="185">
        <v>0</v>
      </c>
      <c r="I17" s="470">
        <f>'Box Canon'!L20+'Box Canon'!L21</f>
      </c>
      <c r="J17" s="479"/>
      <c r="K17" s="479"/>
      <c r="L17" s="471"/>
      <c r="M17" s="472"/>
      <c r="N17" s="458"/>
      <c r="O17" s="478"/>
      <c r="P17" s="470"/>
      <c r="Q17" s="470"/>
      <c r="R17" s="481"/>
      <c r="S17" s="458"/>
      <c r="T17" s="449"/>
      <c r="U17" s="449"/>
      <c r="V17" s="449"/>
    </row>
    <row x14ac:dyDescent="0.25" r="18" customHeight="1" ht="18.75">
      <c r="A18" s="482">
        <f>SUM(A17+1)</f>
        <v>25568.708333333332</v>
      </c>
      <c r="B18" s="477">
        <f>TEXT(A18, "0")</f>
      </c>
      <c r="C18" s="478">
        <v>1984.7</v>
      </c>
      <c r="D18" s="470">
        <f>'Box Canon'!M18+'Box Canon'!M19</f>
      </c>
      <c r="E18" s="471"/>
      <c r="F18" s="471"/>
      <c r="G18" s="470">
        <v>12479.34</v>
      </c>
      <c r="H18" s="185">
        <v>0</v>
      </c>
      <c r="I18" s="470">
        <f>'Box Canon'!M20+'Box Canon'!M21</f>
      </c>
      <c r="J18" s="479"/>
      <c r="K18" s="479"/>
      <c r="L18" s="471"/>
      <c r="M18" s="472"/>
      <c r="N18" s="458"/>
      <c r="O18" s="478"/>
      <c r="P18" s="470"/>
      <c r="Q18" s="470"/>
      <c r="R18" s="481"/>
      <c r="S18" s="458"/>
      <c r="T18" s="449"/>
      <c r="U18" s="449"/>
      <c r="V18" s="449"/>
    </row>
    <row x14ac:dyDescent="0.25" r="19" customHeight="1" ht="18.75">
      <c r="A19" s="482">
        <f>SUM(A18+1)</f>
        <v>25568.708333333332</v>
      </c>
      <c r="B19" s="477">
        <f>TEXT(A19, "0")</f>
      </c>
      <c r="C19" s="478">
        <v>1791.26</v>
      </c>
      <c r="D19" s="470">
        <f>'Box Canon'!N18+'Box Canon'!N19</f>
      </c>
      <c r="E19" s="471"/>
      <c r="F19" s="471"/>
      <c r="G19" s="470">
        <v>12831.42</v>
      </c>
      <c r="H19" s="185">
        <v>0</v>
      </c>
      <c r="I19" s="470">
        <f>'Box Canon'!N20+'Box Canon'!N21</f>
      </c>
      <c r="J19" s="479"/>
      <c r="K19" s="479"/>
      <c r="L19" s="471"/>
      <c r="M19" s="472"/>
      <c r="N19" s="458"/>
      <c r="O19" s="478"/>
      <c r="P19" s="470"/>
      <c r="Q19" s="470"/>
      <c r="R19" s="481"/>
      <c r="S19" s="458"/>
      <c r="T19" s="449"/>
      <c r="U19" s="449"/>
      <c r="V19" s="449"/>
    </row>
    <row x14ac:dyDescent="0.25" r="20" customHeight="1" ht="18.75">
      <c r="A20" s="482">
        <f>SUM(A19+1)</f>
        <v>25568.708333333332</v>
      </c>
      <c r="B20" s="477">
        <f>TEXT(A20, "0")</f>
      </c>
      <c r="C20" s="478">
        <v>2741.15</v>
      </c>
      <c r="D20" s="470">
        <f>'Box Canon'!O18+'Box Canon'!O19</f>
      </c>
      <c r="E20" s="471"/>
      <c r="F20" s="471"/>
      <c r="G20" s="470">
        <v>12701.12</v>
      </c>
      <c r="H20" s="185">
        <v>0</v>
      </c>
      <c r="I20" s="470">
        <f>'Box Canon'!O20+'Box Canon'!O21</f>
      </c>
      <c r="J20" s="479"/>
      <c r="K20" s="479"/>
      <c r="L20" s="471"/>
      <c r="M20" s="472"/>
      <c r="N20" s="458"/>
      <c r="O20" s="478"/>
      <c r="P20" s="486"/>
      <c r="Q20" s="470"/>
      <c r="R20" s="481"/>
      <c r="S20" s="458"/>
      <c r="T20" s="449"/>
      <c r="U20" s="449"/>
      <c r="V20" s="449"/>
    </row>
    <row x14ac:dyDescent="0.25" r="21" customHeight="1" ht="18.75">
      <c r="A21" s="482">
        <f>SUM(A20+1)</f>
        <v>25568.708333333332</v>
      </c>
      <c r="B21" s="477">
        <f>TEXT(A21, "0")</f>
      </c>
      <c r="C21" s="478">
        <v>1305.17</v>
      </c>
      <c r="D21" s="470">
        <f>'Box Canon'!P18+'Box Canon'!P19</f>
      </c>
      <c r="E21" s="471"/>
      <c r="F21" s="471"/>
      <c r="G21" s="470">
        <v>11384.5</v>
      </c>
      <c r="H21" s="185">
        <v>0</v>
      </c>
      <c r="I21" s="470">
        <f>'Box Canon'!P20+'Box Canon'!P21</f>
      </c>
      <c r="J21" s="479"/>
      <c r="K21" s="479"/>
      <c r="L21" s="471"/>
      <c r="M21" s="472"/>
      <c r="N21" s="458"/>
      <c r="O21" s="478"/>
      <c r="P21" s="470"/>
      <c r="Q21" s="470"/>
      <c r="R21" s="481"/>
      <c r="S21" s="458"/>
      <c r="T21" s="449"/>
      <c r="U21" s="449"/>
      <c r="V21" s="449"/>
    </row>
    <row x14ac:dyDescent="0.25" r="22" customHeight="1" ht="18.75">
      <c r="A22" s="482">
        <f>SUM(A21+1)</f>
        <v>25568.708333333332</v>
      </c>
      <c r="B22" s="477">
        <f>TEXT(A22, "0")</f>
      </c>
      <c r="C22" s="478">
        <v>2752.45</v>
      </c>
      <c r="D22" s="470">
        <f>'Box Canon'!Q18+'Box Canon'!Q19</f>
      </c>
      <c r="E22" s="471"/>
      <c r="F22" s="471"/>
      <c r="G22" s="470">
        <v>18262.35</v>
      </c>
      <c r="H22" s="185">
        <v>0</v>
      </c>
      <c r="I22" s="470">
        <f>'Box Canon'!Q20+'Box Canon'!Q21</f>
      </c>
      <c r="J22" s="479"/>
      <c r="K22" s="479"/>
      <c r="L22" s="471"/>
      <c r="M22" s="472"/>
      <c r="N22" s="458"/>
      <c r="O22" s="478"/>
      <c r="P22" s="470"/>
      <c r="Q22" s="470"/>
      <c r="R22" s="481"/>
      <c r="S22" s="458"/>
      <c r="T22" s="449"/>
      <c r="U22" s="449"/>
      <c r="V22" s="449"/>
    </row>
    <row x14ac:dyDescent="0.25" r="23" customHeight="1" ht="18.75">
      <c r="A23" s="482">
        <f>SUM(A22+1)</f>
        <v>25568.708333333332</v>
      </c>
      <c r="B23" s="477">
        <f>TEXT(A23, "0")</f>
      </c>
      <c r="C23" s="478">
        <v>2753.15</v>
      </c>
      <c r="D23" s="470">
        <f>'Box Canon'!R18+'Box Canon'!R19</f>
      </c>
      <c r="E23" s="471"/>
      <c r="F23" s="471"/>
      <c r="G23" s="470">
        <v>15515.26</v>
      </c>
      <c r="H23" s="185">
        <v>0</v>
      </c>
      <c r="I23" s="470">
        <f>'Box Canon'!R20+'Box Canon'!R21</f>
      </c>
      <c r="J23" s="479"/>
      <c r="K23" s="479"/>
      <c r="L23" s="471"/>
      <c r="M23" s="472"/>
      <c r="N23" s="458"/>
      <c r="O23" s="478"/>
      <c r="P23" s="470"/>
      <c r="Q23" s="470"/>
      <c r="R23" s="481"/>
      <c r="S23" s="458"/>
      <c r="T23" s="449"/>
      <c r="U23" s="449"/>
      <c r="V23" s="449"/>
    </row>
    <row x14ac:dyDescent="0.25" r="24" customHeight="1" ht="18.75">
      <c r="A24" s="482">
        <f>SUM(A23+1)</f>
        <v>25568.708333333332</v>
      </c>
      <c r="B24" s="477">
        <f>TEXT(A24, "0")</f>
      </c>
      <c r="C24" s="478">
        <v>1781.45</v>
      </c>
      <c r="D24" s="470">
        <f>'Box Canon'!S18+'Box Canon'!S19</f>
      </c>
      <c r="E24" s="471"/>
      <c r="F24" s="471"/>
      <c r="G24" s="470">
        <v>13671.24</v>
      </c>
      <c r="H24" s="185">
        <v>0</v>
      </c>
      <c r="I24" s="470">
        <f>'Box Canon'!S20+'Box Canon'!S21</f>
      </c>
      <c r="J24" s="479"/>
      <c r="K24" s="479"/>
      <c r="L24" s="471"/>
      <c r="M24" s="472"/>
      <c r="N24" s="458"/>
      <c r="O24" s="478"/>
      <c r="P24" s="470"/>
      <c r="Q24" s="470"/>
      <c r="R24" s="481"/>
      <c r="S24" s="458"/>
      <c r="T24" s="449"/>
      <c r="U24" s="449"/>
      <c r="V24" s="449"/>
    </row>
    <row x14ac:dyDescent="0.25" r="25" customHeight="1" ht="18.75">
      <c r="A25" s="482">
        <f>SUM(A24+1)</f>
        <v>25568.708333333332</v>
      </c>
      <c r="B25" s="477">
        <f>TEXT(A25, "0")</f>
      </c>
      <c r="C25" s="478">
        <v>2346.6</v>
      </c>
      <c r="D25" s="470">
        <f>'Box Canon'!T18+'Box Canon'!T19</f>
      </c>
      <c r="E25" s="471"/>
      <c r="F25" s="471"/>
      <c r="G25" s="470">
        <v>15802.3</v>
      </c>
      <c r="H25" s="185">
        <v>0</v>
      </c>
      <c r="I25" s="470">
        <f>'Box Canon'!T20+'Box Canon'!T21</f>
      </c>
      <c r="J25" s="479"/>
      <c r="K25" s="479"/>
      <c r="L25" s="471"/>
      <c r="M25" s="472"/>
      <c r="N25" s="458"/>
      <c r="O25" s="478"/>
      <c r="P25" s="470"/>
      <c r="Q25" s="470"/>
      <c r="R25" s="481"/>
      <c r="S25" s="458"/>
      <c r="T25" s="449"/>
      <c r="U25" s="449"/>
      <c r="V25" s="449"/>
    </row>
    <row x14ac:dyDescent="0.25" r="26" customHeight="1" ht="18.75">
      <c r="A26" s="482">
        <f>SUM(A25+1)</f>
        <v>25568.708333333332</v>
      </c>
      <c r="B26" s="477">
        <f>TEXT(A26, "0")</f>
      </c>
      <c r="C26" s="478">
        <v>2232.7</v>
      </c>
      <c r="D26" s="470">
        <f>'Box Canon'!U18+'Box Canon'!U19</f>
      </c>
      <c r="E26" s="471"/>
      <c r="F26" s="471"/>
      <c r="G26" s="470">
        <v>14854.46</v>
      </c>
      <c r="H26" s="185">
        <v>0</v>
      </c>
      <c r="I26" s="470">
        <f>'Box Canon'!U20+'Box Canon'!U21</f>
      </c>
      <c r="J26" s="479"/>
      <c r="K26" s="479"/>
      <c r="L26" s="471"/>
      <c r="M26" s="472"/>
      <c r="N26" s="458"/>
      <c r="O26" s="478"/>
      <c r="P26" s="483"/>
      <c r="Q26" s="470"/>
      <c r="R26" s="481"/>
      <c r="S26" s="458"/>
      <c r="T26" s="449"/>
      <c r="U26" s="449"/>
      <c r="V26" s="449"/>
    </row>
    <row x14ac:dyDescent="0.25" r="27" customHeight="1" ht="18.75">
      <c r="A27" s="482">
        <f>SUM(A26+1)</f>
        <v>25568.708333333332</v>
      </c>
      <c r="B27" s="477">
        <f>TEXT(A27, "0")</f>
      </c>
      <c r="C27" s="478">
        <v>1440.75</v>
      </c>
      <c r="D27" s="470">
        <f>'Box Canon'!V18+'Box Canon'!V19</f>
      </c>
      <c r="E27" s="471"/>
      <c r="F27" s="471"/>
      <c r="G27" s="470">
        <v>13207.55</v>
      </c>
      <c r="H27" s="185">
        <v>0</v>
      </c>
      <c r="I27" s="470">
        <f>'Box Canon'!V20+'Box Canon'!V21</f>
      </c>
      <c r="J27" s="479"/>
      <c r="K27" s="479"/>
      <c r="L27" s="471"/>
      <c r="M27" s="472"/>
      <c r="N27" s="458"/>
      <c r="O27" s="478"/>
      <c r="P27" s="470"/>
      <c r="Q27" s="470"/>
      <c r="R27" s="481"/>
      <c r="S27" s="458"/>
      <c r="T27" s="449"/>
      <c r="U27" s="449"/>
      <c r="V27" s="449"/>
    </row>
    <row x14ac:dyDescent="0.25" r="28" customHeight="1" ht="18.75">
      <c r="A28" s="482">
        <f>SUM(A27+1)</f>
        <v>25568.708333333332</v>
      </c>
      <c r="B28" s="477">
        <f>TEXT(A28, "0")</f>
      </c>
      <c r="C28" s="478">
        <v>1289</v>
      </c>
      <c r="D28" s="470">
        <f>'Box Canon'!W18+'Box Canon'!W19</f>
      </c>
      <c r="E28" s="471"/>
      <c r="F28" s="471"/>
      <c r="G28" s="470">
        <v>11574.87</v>
      </c>
      <c r="H28" s="185">
        <v>0</v>
      </c>
      <c r="I28" s="470">
        <f>'Box Canon'!W20+'Box Canon'!W21</f>
      </c>
      <c r="J28" s="479"/>
      <c r="K28" s="479"/>
      <c r="L28" s="471"/>
      <c r="M28" s="472"/>
      <c r="N28" s="458"/>
      <c r="O28" s="478"/>
      <c r="P28" s="470"/>
      <c r="Q28" s="470"/>
      <c r="R28" s="481"/>
      <c r="S28" s="458"/>
      <c r="T28" s="449"/>
      <c r="U28" s="449"/>
      <c r="V28" s="449"/>
    </row>
    <row x14ac:dyDescent="0.25" r="29" customHeight="1" ht="18.75">
      <c r="A29" s="482">
        <f>SUM(A28+1)</f>
        <v>25568.708333333332</v>
      </c>
      <c r="B29" s="477">
        <f>TEXT(A29, "0")</f>
      </c>
      <c r="C29" s="478">
        <v>2469.99</v>
      </c>
      <c r="D29" s="470">
        <f>'Box Canon'!X18+'Box Canon'!X19</f>
      </c>
      <c r="E29" s="471"/>
      <c r="F29" s="471"/>
      <c r="G29" s="470">
        <v>20871.2</v>
      </c>
      <c r="H29" s="185">
        <v>0</v>
      </c>
      <c r="I29" s="470">
        <f>'Box Canon'!X20+'Box Canon'!X21</f>
      </c>
      <c r="J29" s="479"/>
      <c r="K29" s="479"/>
      <c r="L29" s="471"/>
      <c r="M29" s="472"/>
      <c r="N29" s="458"/>
      <c r="O29" s="478"/>
      <c r="P29" s="470"/>
      <c r="Q29" s="470"/>
      <c r="R29" s="481"/>
      <c r="S29" s="458"/>
      <c r="T29" s="449"/>
      <c r="U29" s="449"/>
      <c r="V29" s="449"/>
    </row>
    <row x14ac:dyDescent="0.25" r="30" customHeight="1" ht="18.75">
      <c r="A30" s="482">
        <f>SUM(A29+1)</f>
        <v>25568.708333333332</v>
      </c>
      <c r="B30" s="477">
        <f>TEXT(A30, "0")</f>
      </c>
      <c r="C30" s="478">
        <v>2724.72</v>
      </c>
      <c r="D30" s="470">
        <f>'Box Canon'!Y18+'Box Canon'!Y19</f>
      </c>
      <c r="E30" s="471"/>
      <c r="F30" s="471"/>
      <c r="G30" s="470">
        <v>15640.27</v>
      </c>
      <c r="H30" s="185">
        <v>0</v>
      </c>
      <c r="I30" s="470">
        <f>'Box Canon'!Y20+'Box Canon'!Y21</f>
      </c>
      <c r="J30" s="479"/>
      <c r="K30" s="479"/>
      <c r="L30" s="471"/>
      <c r="M30" s="472"/>
      <c r="N30" s="458"/>
      <c r="O30" s="478"/>
      <c r="P30" s="470"/>
      <c r="Q30" s="470"/>
      <c r="R30" s="481"/>
      <c r="S30" s="458"/>
      <c r="T30" s="449"/>
      <c r="U30" s="449"/>
      <c r="V30" s="449"/>
    </row>
    <row x14ac:dyDescent="0.25" r="31" customHeight="1" ht="18.75">
      <c r="A31" s="482">
        <f>SUM(A30+1)</f>
        <v>25568.708333333332</v>
      </c>
      <c r="B31" s="477">
        <f>TEXT(A31, "0")</f>
      </c>
      <c r="C31" s="478">
        <v>2752.16</v>
      </c>
      <c r="D31" s="470">
        <f>'Box Canon'!Z18+'Box Canon'!Z19</f>
      </c>
      <c r="E31" s="471"/>
      <c r="F31" s="471"/>
      <c r="G31" s="470">
        <v>13496.78</v>
      </c>
      <c r="H31" s="185">
        <v>0</v>
      </c>
      <c r="I31" s="470">
        <f>'Box Canon'!Z20+'Box Canon'!Z21</f>
      </c>
      <c r="J31" s="479"/>
      <c r="K31" s="479"/>
      <c r="L31" s="471"/>
      <c r="M31" s="472"/>
      <c r="N31" s="458"/>
      <c r="O31" s="478"/>
      <c r="P31" s="470"/>
      <c r="Q31" s="470"/>
      <c r="R31" s="481"/>
      <c r="S31" s="458"/>
      <c r="T31" s="449"/>
      <c r="U31" s="449"/>
      <c r="V31" s="449"/>
    </row>
    <row x14ac:dyDescent="0.25" r="32" customHeight="1" ht="18.75">
      <c r="A32" s="482">
        <f>SUM(A31+1)</f>
        <v>25568.708333333332</v>
      </c>
      <c r="B32" s="477">
        <f>TEXT(A32, "0")</f>
      </c>
      <c r="C32" s="478">
        <v>2952.25</v>
      </c>
      <c r="D32" s="470">
        <f>'Box Canon'!AA18+'Box Canon'!AA19</f>
      </c>
      <c r="E32" s="471"/>
      <c r="F32" s="471"/>
      <c r="G32" s="470">
        <v>15159.24</v>
      </c>
      <c r="H32" s="185">
        <v>0</v>
      </c>
      <c r="I32" s="470">
        <f>'Box Canon'!AA20+'Box Canon'!AA21</f>
      </c>
      <c r="J32" s="479"/>
      <c r="K32" s="479"/>
      <c r="L32" s="471"/>
      <c r="M32" s="472"/>
      <c r="N32" s="458"/>
      <c r="O32" s="478"/>
      <c r="P32" s="470"/>
      <c r="Q32" s="470"/>
      <c r="R32" s="481"/>
      <c r="S32" s="458"/>
      <c r="T32" s="449"/>
      <c r="U32" s="449"/>
      <c r="V32" s="449"/>
    </row>
    <row x14ac:dyDescent="0.25" r="33" customHeight="1" ht="18.75">
      <c r="A33" s="482">
        <f>SUM(A32+1)</f>
        <v>25568.708333333332</v>
      </c>
      <c r="B33" s="477">
        <f>TEXT(A33, "0")</f>
      </c>
      <c r="C33" s="478">
        <v>1856.25</v>
      </c>
      <c r="D33" s="470">
        <f>'Box Canon'!AB18+'Box Canon'!AB19</f>
      </c>
      <c r="E33" s="471"/>
      <c r="F33" s="471"/>
      <c r="G33" s="470">
        <v>9575.19</v>
      </c>
      <c r="H33" s="185">
        <v>0</v>
      </c>
      <c r="I33" s="470">
        <f>'Box Canon'!AB20+'Box Canon'!AB21</f>
      </c>
      <c r="J33" s="479"/>
      <c r="K33" s="479"/>
      <c r="L33" s="471"/>
      <c r="M33" s="472"/>
      <c r="N33" s="458"/>
      <c r="O33" s="478"/>
      <c r="P33" s="470"/>
      <c r="Q33" s="470"/>
      <c r="R33" s="481"/>
      <c r="S33" s="458"/>
      <c r="T33" s="449"/>
      <c r="U33" s="449"/>
      <c r="V33" s="449"/>
    </row>
    <row x14ac:dyDescent="0.25" r="34" customHeight="1" ht="18.75">
      <c r="A34" s="482">
        <f>SUM(A33+1)</f>
        <v>25568.708333333332</v>
      </c>
      <c r="B34" s="477">
        <f>TEXT(A34, "0")</f>
      </c>
      <c r="C34" s="478">
        <v>1000.25</v>
      </c>
      <c r="D34" s="470">
        <f>'Box Canon'!AC18+'Box Canon'!AC19</f>
      </c>
      <c r="E34" s="471"/>
      <c r="F34" s="471"/>
      <c r="G34" s="470">
        <v>9689.32</v>
      </c>
      <c r="H34" s="185">
        <v>0</v>
      </c>
      <c r="I34" s="470">
        <f>'Box Canon'!AC20+'Box Canon'!AC21</f>
      </c>
      <c r="J34" s="479"/>
      <c r="K34" s="479"/>
      <c r="L34" s="471"/>
      <c r="M34" s="472"/>
      <c r="N34" s="458"/>
      <c r="O34" s="478"/>
      <c r="P34" s="470"/>
      <c r="Q34" s="470"/>
      <c r="R34" s="481"/>
      <c r="S34" s="485"/>
      <c r="T34" s="449"/>
      <c r="U34" s="449"/>
      <c r="V34" s="449"/>
    </row>
    <row x14ac:dyDescent="0.25" r="35" customHeight="1" ht="18.75">
      <c r="A35" s="482">
        <f>SUM(A34+1)</f>
        <v>25568.708333333332</v>
      </c>
      <c r="B35" s="477">
        <f>TEXT(A35, "0")</f>
      </c>
      <c r="C35" s="478">
        <v>2593.72</v>
      </c>
      <c r="D35" s="470">
        <f>'Box Canon'!AD18+'Box Canon'!AD19</f>
      </c>
      <c r="E35" s="471"/>
      <c r="F35" s="471"/>
      <c r="G35" s="470">
        <v>17906.65</v>
      </c>
      <c r="H35" s="185">
        <v>0</v>
      </c>
      <c r="I35" s="470">
        <f>'Box Canon'!AD20+'Box Canon'!AD21</f>
      </c>
      <c r="J35" s="479"/>
      <c r="K35" s="479"/>
      <c r="L35" s="471"/>
      <c r="M35" s="472"/>
      <c r="N35" s="458"/>
      <c r="O35" s="478"/>
      <c r="P35" s="470"/>
      <c r="Q35" s="470"/>
      <c r="R35" s="481"/>
      <c r="S35" s="458"/>
      <c r="T35" s="449"/>
      <c r="U35" s="449"/>
      <c r="V35" s="449"/>
    </row>
    <row x14ac:dyDescent="0.25" r="36" customHeight="1" ht="18.75">
      <c r="A36" s="482">
        <f>SUM(A35+1)</f>
        <v>25568.708333333332</v>
      </c>
      <c r="B36" s="477">
        <f>TEXT(A36, "0")</f>
      </c>
      <c r="C36" s="478">
        <v>1976.23</v>
      </c>
      <c r="D36" s="470">
        <f>'Box Canon'!AE18+'Box Canon'!AE19</f>
      </c>
      <c r="E36" s="487"/>
      <c r="F36" s="471"/>
      <c r="G36" s="470">
        <v>16019.35</v>
      </c>
      <c r="H36" s="185">
        <v>0</v>
      </c>
      <c r="I36" s="470">
        <f>'Box Canon'!AE20+'Box Canon'!AE21</f>
      </c>
      <c r="J36" s="479"/>
      <c r="K36" s="479"/>
      <c r="L36" s="471"/>
      <c r="M36" s="472"/>
      <c r="N36" s="458"/>
      <c r="O36" s="478"/>
      <c r="P36" s="470"/>
      <c r="Q36" s="470"/>
      <c r="R36" s="481"/>
      <c r="S36" s="458"/>
      <c r="T36" s="449"/>
      <c r="U36" s="449"/>
      <c r="V36" s="449"/>
    </row>
    <row x14ac:dyDescent="0.25" r="37" customHeight="1" ht="18.75">
      <c r="A37" s="482">
        <f>SUM(A36+1)</f>
        <v>25568.708333333332</v>
      </c>
      <c r="B37" s="477">
        <f>TEXT(A37, "0")</f>
      </c>
      <c r="C37" s="478">
        <v>2802.5</v>
      </c>
      <c r="D37" s="470">
        <f>'Box Canon'!AF18+'Box Canon'!AF19</f>
      </c>
      <c r="E37" s="471"/>
      <c r="F37" s="471"/>
      <c r="G37" s="470">
        <v>16615.65</v>
      </c>
      <c r="H37" s="185">
        <v>0</v>
      </c>
      <c r="I37" s="470">
        <f>'Box Canon'!AF20+'Box Canon'!AF21</f>
      </c>
      <c r="J37" s="479"/>
      <c r="K37" s="479"/>
      <c r="L37" s="471"/>
      <c r="M37" s="472"/>
      <c r="N37" s="458"/>
      <c r="O37" s="478"/>
      <c r="P37" s="470"/>
      <c r="Q37" s="470"/>
      <c r="R37" s="481"/>
      <c r="S37" s="458"/>
      <c r="T37" s="449"/>
      <c r="U37" s="449"/>
      <c r="V37" s="449"/>
    </row>
    <row x14ac:dyDescent="0.25" r="38" customHeight="1" ht="18.75">
      <c r="A38" s="482">
        <f>SUM(A37+1)</f>
        <v>25568.708333333332</v>
      </c>
      <c r="B38" s="477">
        <f>TEXT(A38, "0")</f>
      </c>
      <c r="C38" s="478">
        <v>0</v>
      </c>
      <c r="D38" s="470">
        <f>'Box Canon'!AG18+'Box Canon'!AG19</f>
      </c>
      <c r="E38" s="471"/>
      <c r="F38" s="471"/>
      <c r="G38" s="470">
        <v>0</v>
      </c>
      <c r="H38" s="185">
        <v>0</v>
      </c>
      <c r="I38" s="470">
        <f>'Box Canon'!AG20+'Box Canon'!AG21</f>
      </c>
      <c r="J38" s="479"/>
      <c r="K38" s="479"/>
      <c r="L38" s="471"/>
      <c r="M38" s="472"/>
      <c r="N38" s="458"/>
      <c r="O38" s="478"/>
      <c r="P38" s="470"/>
      <c r="Q38" s="470"/>
      <c r="R38" s="481"/>
      <c r="S38" s="458"/>
      <c r="T38" s="449"/>
      <c r="U38" s="449"/>
      <c r="V38" s="449"/>
    </row>
    <row x14ac:dyDescent="0.25" r="39" customHeight="1" ht="18.75">
      <c r="A39" s="482" t="s">
        <v>233</v>
      </c>
      <c r="B39" s="488"/>
      <c r="C39" s="489"/>
      <c r="D39" s="490"/>
      <c r="E39" s="491"/>
      <c r="F39" s="491"/>
      <c r="G39" s="490"/>
      <c r="H39" s="490"/>
      <c r="I39" s="490"/>
      <c r="J39" s="490"/>
      <c r="K39" s="490"/>
      <c r="L39" s="491"/>
      <c r="M39" s="472"/>
      <c r="N39" s="458"/>
      <c r="O39" s="492"/>
      <c r="P39" s="490"/>
      <c r="Q39" s="490"/>
      <c r="R39" s="493"/>
      <c r="S39" s="458"/>
      <c r="T39" s="449"/>
      <c r="U39" s="449"/>
      <c r="V39" s="449"/>
    </row>
    <row x14ac:dyDescent="0.25" r="40" customHeight="1" ht="18.75">
      <c r="A40" s="494"/>
      <c r="B40" s="488"/>
      <c r="C40" s="495">
        <f>SUM(C8:C39)</f>
      </c>
      <c r="D40" s="495">
        <f>SUM(D8:D39)</f>
      </c>
      <c r="E40" s="496">
        <f>SUM(E8:E39)</f>
      </c>
      <c r="F40" s="496">
        <f>SUM(F8:F39)</f>
      </c>
      <c r="G40" s="495">
        <f>SUM(G8:G38)</f>
      </c>
      <c r="H40" s="495">
        <f>SUM(H8:H38)</f>
      </c>
      <c r="I40" s="495">
        <f>SUM(I8:I38)</f>
      </c>
      <c r="J40" s="495">
        <f>SUM(J8:J39)</f>
      </c>
      <c r="K40" s="495">
        <f>SUM(K8:K39)</f>
      </c>
      <c r="L40" s="496">
        <f>SUM(L8:L39)</f>
      </c>
      <c r="M40" s="496">
        <f>SUM(M8:M39)</f>
      </c>
      <c r="N40" s="458"/>
      <c r="O40" s="495">
        <f>SUM(O8:O39)</f>
      </c>
      <c r="P40" s="495">
        <f>SUM(P8:P39)</f>
      </c>
      <c r="Q40" s="495">
        <f>SUM(Q8:Q39)</f>
      </c>
      <c r="R40" s="495">
        <f>SUM(R8:R39)</f>
      </c>
      <c r="S40" s="460"/>
      <c r="T40" s="497">
        <f>SUM(C40:R40)-M40-P40+T7</f>
      </c>
      <c r="U40" s="449"/>
      <c r="V40" s="449"/>
    </row>
    <row x14ac:dyDescent="0.25" r="41" customHeight="1" ht="18.75">
      <c r="A41" s="332"/>
      <c r="B41" s="48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458"/>
      <c r="O41" s="449"/>
      <c r="P41" s="449"/>
      <c r="Q41" s="449"/>
      <c r="R41" s="449"/>
      <c r="S41" s="458"/>
      <c r="T41" s="449"/>
      <c r="U41" s="449"/>
      <c r="V41" s="449"/>
    </row>
    <row x14ac:dyDescent="0.25" r="42" customHeight="1" ht="18.75">
      <c r="A42" s="494"/>
      <c r="B42" s="488"/>
      <c r="C42" s="5"/>
      <c r="D42" s="5"/>
      <c r="E42" s="5"/>
      <c r="F42" s="5"/>
      <c r="G42" s="5"/>
      <c r="H42" s="5"/>
      <c r="I42" s="5"/>
      <c r="J42" s="5"/>
      <c r="K42" s="5"/>
      <c r="L42" s="5"/>
      <c r="M42" s="449">
        <f>C40+D40+J40+K40+M40</f>
      </c>
      <c r="N42" s="458"/>
      <c r="O42" s="498">
        <f>+O40-P40</f>
      </c>
      <c r="P42" s="449"/>
      <c r="Q42" s="498">
        <f>+P40+Q40</f>
      </c>
      <c r="R42" s="449">
        <f>O40+Q40+R40</f>
      </c>
      <c r="S42" s="458"/>
      <c r="T42" s="449"/>
      <c r="U42" s="449"/>
      <c r="V42" s="449"/>
    </row>
    <row x14ac:dyDescent="0.25" r="43" customHeight="1" ht="18.75">
      <c r="A43" s="494"/>
      <c r="B43" s="488"/>
      <c r="C43" s="5"/>
      <c r="D43" s="5"/>
      <c r="E43" s="499" t="s">
        <v>234</v>
      </c>
      <c r="F43" s="5"/>
      <c r="G43" s="5"/>
      <c r="H43" s="5"/>
      <c r="I43" s="5"/>
      <c r="J43" s="5"/>
      <c r="K43" s="5"/>
      <c r="L43" s="5"/>
      <c r="M43" s="5"/>
      <c r="N43" s="458"/>
      <c r="O43" s="460" t="s">
        <v>235</v>
      </c>
      <c r="P43" s="449"/>
      <c r="Q43" s="460" t="s">
        <v>236</v>
      </c>
      <c r="R43" s="449"/>
      <c r="S43" s="458"/>
      <c r="T43" s="449"/>
      <c r="U43" s="449"/>
      <c r="V43" s="449"/>
    </row>
    <row x14ac:dyDescent="0.25" r="44" customHeight="1" ht="18.75">
      <c r="A44" s="332"/>
      <c r="B44" s="488"/>
      <c r="C44" s="5"/>
      <c r="D44" s="5"/>
      <c r="E44" s="499" t="s">
        <v>237</v>
      </c>
      <c r="F44" s="5"/>
      <c r="G44" s="5"/>
      <c r="H44" s="5"/>
      <c r="I44" s="5"/>
      <c r="J44" s="5"/>
      <c r="K44" s="5"/>
      <c r="L44" s="5"/>
      <c r="M44" s="5"/>
      <c r="N44" s="458"/>
      <c r="O44" s="500"/>
      <c r="P44" s="449"/>
      <c r="Q44" s="449"/>
      <c r="R44" s="449"/>
      <c r="S44" s="458"/>
      <c r="T44" s="449"/>
      <c r="U44" s="449"/>
      <c r="V44" s="449"/>
    </row>
    <row x14ac:dyDescent="0.25" r="45" customHeight="1" ht="18.75">
      <c r="A45" s="332"/>
      <c r="B45" s="488"/>
      <c r="C45" s="5"/>
      <c r="D45" s="5"/>
      <c r="E45" s="499" t="s">
        <v>238</v>
      </c>
      <c r="F45" s="5"/>
      <c r="G45" s="5"/>
      <c r="H45" s="5"/>
      <c r="I45" s="5"/>
      <c r="J45" s="501"/>
      <c r="K45" s="5"/>
      <c r="L45" s="5"/>
      <c r="M45" s="5"/>
      <c r="N45" s="458"/>
      <c r="O45" s="502"/>
      <c r="P45" s="449"/>
      <c r="Q45" s="449"/>
      <c r="R45" s="5"/>
      <c r="S45" s="6"/>
      <c r="T45" s="5"/>
      <c r="U45" s="449"/>
      <c r="V45" s="449"/>
    </row>
    <row x14ac:dyDescent="0.25" r="46" customHeight="1" ht="18.75">
      <c r="A46" s="494"/>
      <c r="B46" s="488"/>
      <c r="C46" s="503"/>
      <c r="D46" s="5"/>
      <c r="E46" s="499" t="s">
        <v>239</v>
      </c>
      <c r="F46" s="5"/>
      <c r="G46" s="5"/>
      <c r="H46" s="5"/>
      <c r="I46" s="5"/>
      <c r="J46" s="5"/>
      <c r="K46" s="5"/>
      <c r="L46" s="5"/>
      <c r="M46" s="5"/>
      <c r="N46" s="458"/>
      <c r="O46" s="449"/>
      <c r="P46" s="449"/>
      <c r="Q46" s="449"/>
      <c r="R46" s="5"/>
      <c r="S46" s="6"/>
      <c r="T46" s="5"/>
      <c r="U46" s="449"/>
      <c r="V46" s="449"/>
    </row>
    <row x14ac:dyDescent="0.25" r="47" customHeight="1" ht="18.75">
      <c r="A47" s="494"/>
      <c r="B47" s="488"/>
      <c r="C47" s="503"/>
      <c r="D47" s="5"/>
      <c r="E47" s="499" t="s">
        <v>240</v>
      </c>
      <c r="F47" s="5"/>
      <c r="G47" s="5"/>
      <c r="H47" s="5"/>
      <c r="I47" s="5"/>
      <c r="J47" s="5"/>
      <c r="K47" s="5"/>
      <c r="L47" s="5"/>
      <c r="M47" s="5"/>
      <c r="N47" s="458"/>
      <c r="O47" s="449"/>
      <c r="P47" s="449"/>
      <c r="Q47" s="449"/>
      <c r="R47" s="5"/>
      <c r="S47" s="6"/>
      <c r="T47" s="5"/>
      <c r="U47" s="449"/>
      <c r="V47" s="449"/>
    </row>
    <row x14ac:dyDescent="0.25" r="48" customHeight="1" ht="18.75">
      <c r="A48" s="494"/>
      <c r="B48" s="488"/>
      <c r="C48" s="503"/>
      <c r="D48" s="5"/>
      <c r="E48" s="499" t="s">
        <v>241</v>
      </c>
      <c r="F48" s="5"/>
      <c r="G48" s="5"/>
      <c r="H48" s="5"/>
      <c r="I48" s="5"/>
      <c r="J48" s="5"/>
      <c r="K48" s="5"/>
      <c r="L48" s="5"/>
      <c r="M48" s="5"/>
      <c r="N48" s="458"/>
      <c r="O48" s="449"/>
      <c r="P48" s="449"/>
      <c r="Q48" s="449"/>
      <c r="R48" s="5"/>
      <c r="S48" s="6"/>
      <c r="T48" s="5"/>
      <c r="U48" s="449"/>
      <c r="V48" s="449"/>
    </row>
    <row x14ac:dyDescent="0.25" r="49" customHeight="1" ht="18.75">
      <c r="A49" s="494"/>
      <c r="B49" s="488"/>
      <c r="C49" s="503"/>
      <c r="D49" s="5"/>
      <c r="E49" s="499" t="s">
        <v>242</v>
      </c>
      <c r="F49" s="5"/>
      <c r="G49" s="5"/>
      <c r="H49" s="5"/>
      <c r="I49" s="5"/>
      <c r="J49" s="5"/>
      <c r="K49" s="5"/>
      <c r="L49" s="5"/>
      <c r="M49" s="5"/>
      <c r="N49" s="458"/>
      <c r="O49" s="449"/>
      <c r="P49" s="449"/>
      <c r="Q49" s="449"/>
      <c r="R49" s="5"/>
      <c r="S49" s="6"/>
      <c r="T49" s="5"/>
      <c r="U49" s="449"/>
      <c r="V49" s="449"/>
    </row>
    <row x14ac:dyDescent="0.25" r="50" customHeight="1" ht="18.75">
      <c r="A50" s="494"/>
      <c r="B50" s="488"/>
      <c r="C50" s="503"/>
      <c r="D50" s="5"/>
      <c r="E50" s="5"/>
      <c r="F50" s="5"/>
      <c r="G50" s="5"/>
      <c r="H50" s="5"/>
      <c r="I50" s="5"/>
      <c r="J50" s="501"/>
      <c r="K50" s="5"/>
      <c r="L50" s="5"/>
      <c r="M50" s="5"/>
      <c r="N50" s="458"/>
      <c r="O50" s="449"/>
      <c r="P50" s="449"/>
      <c r="Q50" s="449"/>
      <c r="R50" s="5"/>
      <c r="S50" s="6"/>
      <c r="T50" s="5"/>
      <c r="U50" s="449"/>
      <c r="V50" s="449"/>
    </row>
    <row x14ac:dyDescent="0.25" r="51" customHeight="1" ht="18.75">
      <c r="A51" s="494"/>
      <c r="B51" s="488"/>
      <c r="C51" s="503"/>
      <c r="D51" s="5"/>
      <c r="E51" s="5"/>
      <c r="F51" s="5"/>
      <c r="G51" s="5"/>
      <c r="H51" s="5"/>
      <c r="I51" s="5"/>
      <c r="J51" s="5"/>
      <c r="K51" s="5"/>
      <c r="L51" s="5"/>
      <c r="M51" s="5"/>
      <c r="N51" s="458"/>
      <c r="O51" s="449"/>
      <c r="P51" s="449"/>
      <c r="Q51" s="449"/>
      <c r="R51" s="5"/>
      <c r="S51" s="6"/>
      <c r="T51" s="5"/>
      <c r="U51" s="449"/>
      <c r="V51" s="449"/>
    </row>
    <row x14ac:dyDescent="0.25" r="52" customHeight="1" ht="18.75">
      <c r="A52" s="332"/>
      <c r="B52" s="488"/>
      <c r="C52" s="503"/>
      <c r="D52" s="5"/>
      <c r="E52" s="5"/>
      <c r="F52" s="5"/>
      <c r="G52" s="5"/>
      <c r="H52" s="5"/>
      <c r="I52" s="5"/>
      <c r="J52" s="449"/>
      <c r="K52" s="5"/>
      <c r="L52" s="5"/>
      <c r="M52" s="5"/>
      <c r="N52" s="458"/>
      <c r="O52" s="449"/>
      <c r="P52" s="449"/>
      <c r="Q52" s="449"/>
      <c r="R52" s="5"/>
      <c r="S52" s="6"/>
      <c r="T52" s="5"/>
      <c r="U52" s="449"/>
      <c r="V52" s="449"/>
    </row>
    <row x14ac:dyDescent="0.25" r="53" customHeight="1" ht="18.75">
      <c r="A53" s="332"/>
      <c r="B53" s="488"/>
      <c r="C53" s="503"/>
      <c r="D53" s="5"/>
      <c r="E53" s="5"/>
      <c r="F53" s="5"/>
      <c r="G53" s="5"/>
      <c r="H53" s="5"/>
      <c r="I53" s="5"/>
      <c r="J53" s="5"/>
      <c r="K53" s="5"/>
      <c r="L53" s="5"/>
      <c r="M53" s="5"/>
      <c r="N53" s="458"/>
      <c r="O53" s="449"/>
      <c r="P53" s="449"/>
      <c r="Q53" s="449"/>
      <c r="R53" s="5"/>
      <c r="S53" s="6"/>
      <c r="T53" s="5"/>
      <c r="U53" s="449"/>
      <c r="V53" s="449"/>
    </row>
    <row x14ac:dyDescent="0.25" r="54" customHeight="1" ht="18.75">
      <c r="A54" s="332"/>
      <c r="B54" s="488"/>
      <c r="C54" s="503"/>
      <c r="D54" s="5"/>
      <c r="E54" s="5"/>
      <c r="F54" s="5"/>
      <c r="G54" s="5"/>
      <c r="H54" s="5"/>
      <c r="I54" s="5"/>
      <c r="J54" s="5"/>
      <c r="K54" s="5"/>
      <c r="L54" s="5"/>
      <c r="M54" s="5"/>
      <c r="N54" s="458"/>
      <c r="O54" s="449"/>
      <c r="P54" s="449"/>
      <c r="Q54" s="449"/>
      <c r="R54" s="5"/>
      <c r="S54" s="6"/>
      <c r="T54" s="5"/>
      <c r="U54" s="449"/>
      <c r="V54" s="449"/>
    </row>
    <row x14ac:dyDescent="0.25" r="55" customHeight="1" ht="18.75">
      <c r="A55" s="332"/>
      <c r="B55" s="488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458"/>
      <c r="O55" s="449"/>
      <c r="P55" s="449"/>
      <c r="Q55" s="449"/>
      <c r="R55" s="5"/>
      <c r="S55" s="6"/>
      <c r="T55" s="5"/>
      <c r="U55" s="449"/>
      <c r="V55" s="449"/>
    </row>
    <row x14ac:dyDescent="0.25" r="56" customHeight="1" ht="18.75">
      <c r="A56" s="332"/>
      <c r="B56" s="488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458"/>
      <c r="O56" s="449"/>
      <c r="P56" s="449"/>
      <c r="Q56" s="449"/>
      <c r="R56" s="449"/>
      <c r="S56" s="458"/>
      <c r="T56" s="449"/>
      <c r="U56" s="449"/>
      <c r="V56" s="449"/>
    </row>
    <row x14ac:dyDescent="0.25" r="57" customHeight="1" ht="18.75">
      <c r="A57" s="332"/>
      <c r="B57" s="488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458"/>
      <c r="O57" s="449"/>
      <c r="P57" s="449"/>
      <c r="Q57" s="449"/>
      <c r="R57" s="449"/>
      <c r="S57" s="458"/>
      <c r="T57" s="449"/>
      <c r="U57" s="449"/>
      <c r="V57" s="449"/>
    </row>
    <row x14ac:dyDescent="0.25" r="58" customHeight="1" ht="18.75">
      <c r="A58" s="332"/>
      <c r="B58" s="488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458"/>
      <c r="O58" s="449"/>
      <c r="P58" s="449"/>
      <c r="Q58" s="449"/>
      <c r="R58" s="449"/>
      <c r="S58" s="458"/>
      <c r="T58" s="449"/>
      <c r="U58" s="449"/>
      <c r="V58" s="449"/>
    </row>
    <row x14ac:dyDescent="0.25" r="59" customHeight="1" ht="18.75">
      <c r="A59" s="332"/>
      <c r="B59" s="48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458"/>
      <c r="O59" s="449"/>
      <c r="P59" s="449"/>
      <c r="Q59" s="449"/>
      <c r="R59" s="449"/>
      <c r="S59" s="458"/>
      <c r="T59" s="449"/>
      <c r="U59" s="449"/>
      <c r="V59" s="449"/>
    </row>
    <row x14ac:dyDescent="0.25" r="60" customHeight="1" ht="18.75">
      <c r="A60" s="332"/>
      <c r="B60" s="488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458"/>
      <c r="O60" s="449"/>
      <c r="P60" s="449"/>
      <c r="Q60" s="449"/>
      <c r="R60" s="449"/>
      <c r="S60" s="458"/>
      <c r="T60" s="449"/>
      <c r="U60" s="449"/>
      <c r="V60" s="449"/>
    </row>
    <row x14ac:dyDescent="0.25" r="61" customHeight="1" ht="18.75">
      <c r="A61" s="332"/>
      <c r="B61" s="488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458"/>
      <c r="O61" s="449"/>
      <c r="P61" s="449"/>
      <c r="Q61" s="449"/>
      <c r="R61" s="449"/>
      <c r="S61" s="458"/>
      <c r="T61" s="449"/>
      <c r="U61" s="449"/>
      <c r="V61" s="449"/>
    </row>
    <row x14ac:dyDescent="0.25" r="62" customHeight="1" ht="18.75">
      <c r="A62" s="332"/>
      <c r="B62" s="488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458"/>
      <c r="O62" s="449"/>
      <c r="P62" s="449"/>
      <c r="Q62" s="449"/>
      <c r="R62" s="449"/>
      <c r="S62" s="458"/>
      <c r="T62" s="449"/>
      <c r="U62" s="449"/>
      <c r="V62" s="449"/>
    </row>
    <row x14ac:dyDescent="0.25" r="63" customHeight="1" ht="18.75">
      <c r="A63" s="332"/>
      <c r="B63" s="488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458"/>
      <c r="O63" s="449"/>
      <c r="P63" s="449"/>
      <c r="Q63" s="449"/>
      <c r="R63" s="449"/>
      <c r="S63" s="458"/>
      <c r="T63" s="449"/>
      <c r="U63" s="449"/>
      <c r="V63" s="449"/>
    </row>
    <row x14ac:dyDescent="0.25" r="64" customHeight="1" ht="18.75">
      <c r="A64" s="332"/>
      <c r="B64" s="488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458"/>
      <c r="O64" s="449"/>
      <c r="P64" s="449"/>
      <c r="Q64" s="449"/>
      <c r="R64" s="449"/>
      <c r="S64" s="458"/>
      <c r="T64" s="449"/>
      <c r="U64" s="449"/>
      <c r="V64" s="449"/>
    </row>
    <row x14ac:dyDescent="0.25" r="65" customHeight="1" ht="18.75">
      <c r="A65" s="332"/>
      <c r="B65" s="488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458"/>
      <c r="O65" s="449"/>
      <c r="P65" s="449"/>
      <c r="Q65" s="449"/>
      <c r="R65" s="449"/>
      <c r="S65" s="458"/>
      <c r="T65" s="449"/>
      <c r="U65" s="449"/>
      <c r="V65" s="449"/>
    </row>
    <row x14ac:dyDescent="0.25" r="66" customHeight="1" ht="18.75">
      <c r="A66" s="332"/>
      <c r="B66" s="488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458"/>
      <c r="O66" s="449"/>
      <c r="P66" s="449"/>
      <c r="Q66" s="449"/>
      <c r="R66" s="449"/>
      <c r="S66" s="458"/>
      <c r="T66" s="449"/>
      <c r="U66" s="449"/>
      <c r="V66" s="449"/>
    </row>
    <row x14ac:dyDescent="0.25" r="67" customHeight="1" ht="18.75">
      <c r="A67" s="332"/>
      <c r="B67" s="488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458"/>
      <c r="O67" s="449"/>
      <c r="P67" s="449"/>
      <c r="Q67" s="449"/>
      <c r="R67" s="449"/>
      <c r="S67" s="458"/>
      <c r="T67" s="449"/>
      <c r="U67" s="449"/>
      <c r="V67" s="449"/>
    </row>
    <row x14ac:dyDescent="0.25" r="68" customHeight="1" ht="18.75">
      <c r="A68" s="332"/>
      <c r="B68" s="488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458"/>
      <c r="O68" s="449"/>
      <c r="P68" s="449"/>
      <c r="Q68" s="449"/>
      <c r="R68" s="449"/>
      <c r="S68" s="458"/>
      <c r="T68" s="449"/>
      <c r="U68" s="449"/>
      <c r="V68" s="449"/>
    </row>
    <row x14ac:dyDescent="0.25" r="69" customHeight="1" ht="18.75">
      <c r="A69" s="332"/>
      <c r="B69" s="488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458"/>
      <c r="O69" s="449"/>
      <c r="P69" s="449"/>
      <c r="Q69" s="449"/>
      <c r="R69" s="449"/>
      <c r="S69" s="458"/>
      <c r="T69" s="449"/>
      <c r="U69" s="449"/>
      <c r="V69" s="449"/>
    </row>
    <row x14ac:dyDescent="0.25" r="70" customHeight="1" ht="18.75">
      <c r="A70" s="332"/>
      <c r="B70" s="488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458"/>
      <c r="O70" s="449"/>
      <c r="P70" s="449"/>
      <c r="Q70" s="449"/>
      <c r="R70" s="449"/>
      <c r="S70" s="458"/>
      <c r="T70" s="449"/>
      <c r="U70" s="449"/>
      <c r="V70" s="449"/>
    </row>
    <row x14ac:dyDescent="0.25" r="71" customHeight="1" ht="18.75">
      <c r="A71" s="332"/>
      <c r="B71" s="488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458"/>
      <c r="O71" s="449"/>
      <c r="P71" s="449"/>
      <c r="Q71" s="449"/>
      <c r="R71" s="449"/>
      <c r="S71" s="458"/>
      <c r="T71" s="449"/>
      <c r="U71" s="449"/>
      <c r="V71" s="449"/>
    </row>
    <row x14ac:dyDescent="0.25" r="72" customHeight="1" ht="18.75">
      <c r="A72" s="332"/>
      <c r="B72" s="488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458"/>
      <c r="O72" s="449"/>
      <c r="P72" s="449"/>
      <c r="Q72" s="449"/>
      <c r="R72" s="449"/>
      <c r="S72" s="458"/>
      <c r="T72" s="449"/>
      <c r="U72" s="449"/>
      <c r="V72" s="449"/>
    </row>
    <row x14ac:dyDescent="0.25" r="73" customHeight="1" ht="18.75">
      <c r="A73" s="332"/>
      <c r="B73" s="488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458"/>
      <c r="O73" s="449"/>
      <c r="P73" s="449"/>
      <c r="Q73" s="449"/>
      <c r="R73" s="449"/>
      <c r="S73" s="458"/>
      <c r="T73" s="449"/>
      <c r="U73" s="449"/>
      <c r="V73" s="449"/>
    </row>
    <row x14ac:dyDescent="0.25" r="74" customHeight="1" ht="18.75">
      <c r="A74" s="332"/>
      <c r="B74" s="488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458"/>
      <c r="O74" s="449"/>
      <c r="P74" s="449"/>
      <c r="Q74" s="449"/>
      <c r="R74" s="449"/>
      <c r="S74" s="458"/>
      <c r="T74" s="449"/>
      <c r="U74" s="449"/>
      <c r="V74" s="449"/>
    </row>
    <row x14ac:dyDescent="0.25" r="75" customHeight="1" ht="18.75">
      <c r="A75" s="332"/>
      <c r="B75" s="488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458"/>
      <c r="O75" s="449"/>
      <c r="P75" s="449"/>
      <c r="Q75" s="449"/>
      <c r="R75" s="449"/>
      <c r="S75" s="458"/>
      <c r="T75" s="449"/>
      <c r="U75" s="449"/>
      <c r="V75" s="449"/>
    </row>
    <row x14ac:dyDescent="0.25" r="76" customHeight="1" ht="18.75">
      <c r="A76" s="332"/>
      <c r="B76" s="488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458"/>
      <c r="O76" s="449"/>
      <c r="P76" s="449"/>
      <c r="Q76" s="449"/>
      <c r="R76" s="449"/>
      <c r="S76" s="458"/>
      <c r="T76" s="449"/>
      <c r="U76" s="449"/>
      <c r="V76" s="449"/>
    </row>
    <row x14ac:dyDescent="0.25" r="77" customHeight="1" ht="18.75">
      <c r="A77" s="332"/>
      <c r="B77" s="488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458"/>
      <c r="O77" s="449"/>
      <c r="P77" s="449"/>
      <c r="Q77" s="449"/>
      <c r="R77" s="449"/>
      <c r="S77" s="458"/>
      <c r="T77" s="449"/>
      <c r="U77" s="449"/>
      <c r="V77" s="449"/>
    </row>
    <row x14ac:dyDescent="0.25" r="78" customHeight="1" ht="18.75">
      <c r="A78" s="332"/>
      <c r="B78" s="488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458"/>
      <c r="O78" s="449"/>
      <c r="P78" s="449"/>
      <c r="Q78" s="449"/>
      <c r="R78" s="449"/>
      <c r="S78" s="458"/>
      <c r="T78" s="449"/>
      <c r="U78" s="449"/>
      <c r="V78" s="449"/>
    </row>
    <row x14ac:dyDescent="0.25" r="79" customHeight="1" ht="18.75">
      <c r="A79" s="332"/>
      <c r="B79" s="488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458"/>
      <c r="O79" s="449"/>
      <c r="P79" s="449"/>
      <c r="Q79" s="449"/>
      <c r="R79" s="449"/>
      <c r="S79" s="458"/>
      <c r="T79" s="449"/>
      <c r="U79" s="449"/>
      <c r="V79" s="449"/>
    </row>
    <row x14ac:dyDescent="0.25" r="80" customHeight="1" ht="18.75">
      <c r="A80" s="332"/>
      <c r="B80" s="488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458"/>
      <c r="O80" s="449"/>
      <c r="P80" s="449"/>
      <c r="Q80" s="449"/>
      <c r="R80" s="449"/>
      <c r="S80" s="458"/>
      <c r="T80" s="449"/>
      <c r="U80" s="449"/>
      <c r="V80" s="449"/>
    </row>
    <row x14ac:dyDescent="0.25" r="81" customHeight="1" ht="18.75">
      <c r="A81" s="332"/>
      <c r="B81" s="488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458"/>
      <c r="O81" s="449"/>
      <c r="P81" s="449"/>
      <c r="Q81" s="449"/>
      <c r="R81" s="449"/>
      <c r="S81" s="458"/>
      <c r="T81" s="449"/>
      <c r="U81" s="449"/>
      <c r="V81" s="449"/>
    </row>
    <row x14ac:dyDescent="0.25" r="82" customHeight="1" ht="18.75">
      <c r="A82" s="332"/>
      <c r="B82" s="488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458"/>
      <c r="O82" s="449"/>
      <c r="P82" s="449"/>
      <c r="Q82" s="449"/>
      <c r="R82" s="449"/>
      <c r="S82" s="458"/>
      <c r="T82" s="449"/>
      <c r="U82" s="449"/>
      <c r="V82" s="449"/>
    </row>
    <row x14ac:dyDescent="0.25" r="83" customHeight="1" ht="18.75">
      <c r="A83" s="332"/>
      <c r="B83" s="488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458"/>
      <c r="O83" s="449"/>
      <c r="P83" s="449"/>
      <c r="Q83" s="449"/>
      <c r="R83" s="449"/>
      <c r="S83" s="458"/>
      <c r="T83" s="449"/>
      <c r="U83" s="449"/>
      <c r="V83" s="449"/>
    </row>
    <row x14ac:dyDescent="0.25" r="84" customHeight="1" ht="18.75">
      <c r="A84" s="332"/>
      <c r="B84" s="488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458"/>
      <c r="O84" s="449"/>
      <c r="P84" s="449"/>
      <c r="Q84" s="449"/>
      <c r="R84" s="449"/>
      <c r="S84" s="458"/>
      <c r="T84" s="449"/>
      <c r="U84" s="449"/>
      <c r="V84" s="449"/>
    </row>
    <row x14ac:dyDescent="0.25" r="85" customHeight="1" ht="18.75">
      <c r="A85" s="332"/>
      <c r="B85" s="488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458"/>
      <c r="O85" s="449"/>
      <c r="P85" s="449"/>
      <c r="Q85" s="449"/>
      <c r="R85" s="449"/>
      <c r="S85" s="458"/>
      <c r="T85" s="449"/>
      <c r="U85" s="449"/>
      <c r="V85" s="449"/>
    </row>
    <row x14ac:dyDescent="0.25" r="86" customHeight="1" ht="18.75">
      <c r="A86" s="332"/>
      <c r="B86" s="488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458"/>
      <c r="O86" s="449"/>
      <c r="P86" s="449"/>
      <c r="Q86" s="449"/>
      <c r="R86" s="449"/>
      <c r="S86" s="458"/>
      <c r="T86" s="449"/>
      <c r="U86" s="449"/>
      <c r="V86" s="449"/>
    </row>
    <row x14ac:dyDescent="0.25" r="87" customHeight="1" ht="18.75">
      <c r="A87" s="332"/>
      <c r="B87" s="488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458"/>
      <c r="O87" s="449"/>
      <c r="P87" s="449"/>
      <c r="Q87" s="449"/>
      <c r="R87" s="449"/>
      <c r="S87" s="458"/>
      <c r="T87" s="449"/>
      <c r="U87" s="449"/>
      <c r="V87" s="449"/>
    </row>
    <row x14ac:dyDescent="0.25" r="88" customHeight="1" ht="18.75">
      <c r="A88" s="332"/>
      <c r="B88" s="488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458"/>
      <c r="O88" s="449"/>
      <c r="P88" s="449"/>
      <c r="Q88" s="449"/>
      <c r="R88" s="449"/>
      <c r="S88" s="458"/>
      <c r="T88" s="449"/>
      <c r="U88" s="449"/>
      <c r="V88" s="449"/>
    </row>
    <row x14ac:dyDescent="0.25" r="89" customHeight="1" ht="18.75">
      <c r="A89" s="332"/>
      <c r="B89" s="488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458"/>
      <c r="O89" s="449"/>
      <c r="P89" s="449"/>
      <c r="Q89" s="449"/>
      <c r="R89" s="449"/>
      <c r="S89" s="458"/>
      <c r="T89" s="449"/>
      <c r="U89" s="449"/>
      <c r="V89" s="449"/>
    </row>
    <row x14ac:dyDescent="0.25" r="90" customHeight="1" ht="18.75">
      <c r="A90" s="332"/>
      <c r="B90" s="488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458"/>
      <c r="O90" s="449"/>
      <c r="P90" s="449"/>
      <c r="Q90" s="449"/>
      <c r="R90" s="449"/>
      <c r="S90" s="458"/>
      <c r="T90" s="449"/>
      <c r="U90" s="449"/>
      <c r="V90" s="449"/>
    </row>
    <row x14ac:dyDescent="0.25" r="91" customHeight="1" ht="18.75">
      <c r="A91" s="332"/>
      <c r="B91" s="488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458"/>
      <c r="O91" s="449"/>
      <c r="P91" s="449"/>
      <c r="Q91" s="449"/>
      <c r="R91" s="449"/>
      <c r="S91" s="458"/>
      <c r="T91" s="449"/>
      <c r="U91" s="449"/>
      <c r="V91" s="449"/>
    </row>
    <row x14ac:dyDescent="0.25" r="92" customHeight="1" ht="18.75">
      <c r="A92" s="332"/>
      <c r="B92" s="488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458"/>
      <c r="O92" s="449"/>
      <c r="P92" s="449"/>
      <c r="Q92" s="449"/>
      <c r="R92" s="449"/>
      <c r="S92" s="458"/>
      <c r="T92" s="449"/>
      <c r="U92" s="449"/>
      <c r="V92" s="449"/>
    </row>
    <row x14ac:dyDescent="0.25" r="93" customHeight="1" ht="18.75">
      <c r="A93" s="332"/>
      <c r="B93" s="488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458"/>
      <c r="O93" s="449"/>
      <c r="P93" s="449"/>
      <c r="Q93" s="449"/>
      <c r="R93" s="449"/>
      <c r="S93" s="458"/>
      <c r="T93" s="449"/>
      <c r="U93" s="449"/>
      <c r="V93" s="449"/>
    </row>
    <row x14ac:dyDescent="0.25" r="94" customHeight="1" ht="18.75">
      <c r="A94" s="332"/>
      <c r="B94" s="48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458"/>
      <c r="O94" s="449"/>
      <c r="P94" s="449"/>
      <c r="Q94" s="449"/>
      <c r="R94" s="449"/>
      <c r="S94" s="458"/>
      <c r="T94" s="449"/>
      <c r="U94" s="449"/>
      <c r="V94" s="449"/>
    </row>
    <row x14ac:dyDescent="0.25" r="95" customHeight="1" ht="18.75">
      <c r="A95" s="332"/>
      <c r="B95" s="488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458"/>
      <c r="O95" s="449"/>
      <c r="P95" s="449"/>
      <c r="Q95" s="449"/>
      <c r="R95" s="449"/>
      <c r="S95" s="458"/>
      <c r="T95" s="449"/>
      <c r="U95" s="449"/>
      <c r="V95" s="449"/>
    </row>
    <row x14ac:dyDescent="0.25" r="96" customHeight="1" ht="18.75">
      <c r="A96" s="332"/>
      <c r="B96" s="488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458"/>
      <c r="O96" s="449"/>
      <c r="P96" s="449"/>
      <c r="Q96" s="449"/>
      <c r="R96" s="449"/>
      <c r="S96" s="458"/>
      <c r="T96" s="449"/>
      <c r="U96" s="449"/>
      <c r="V96" s="449"/>
    </row>
    <row x14ac:dyDescent="0.25" r="97" customHeight="1" ht="18.75">
      <c r="A97" s="332"/>
      <c r="B97" s="488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458"/>
      <c r="O97" s="449"/>
      <c r="P97" s="449"/>
      <c r="Q97" s="449"/>
      <c r="R97" s="449"/>
      <c r="S97" s="458"/>
      <c r="T97" s="449"/>
      <c r="U97" s="449"/>
      <c r="V97" s="449"/>
    </row>
    <row x14ac:dyDescent="0.25" r="98" customHeight="1" ht="18.75">
      <c r="A98" s="332"/>
      <c r="B98" s="488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458"/>
      <c r="O98" s="449"/>
      <c r="P98" s="449"/>
      <c r="Q98" s="449"/>
      <c r="R98" s="449"/>
      <c r="S98" s="458"/>
      <c r="T98" s="449"/>
      <c r="U98" s="449"/>
      <c r="V98" s="449"/>
    </row>
    <row x14ac:dyDescent="0.25" r="99" customHeight="1" ht="18.75">
      <c r="A99" s="332"/>
      <c r="B99" s="488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458"/>
      <c r="O99" s="449"/>
      <c r="P99" s="449"/>
      <c r="Q99" s="449"/>
      <c r="R99" s="449"/>
      <c r="S99" s="458"/>
      <c r="T99" s="449"/>
      <c r="U99" s="449"/>
      <c r="V99" s="449"/>
    </row>
    <row x14ac:dyDescent="0.25" r="100" customHeight="1" ht="18.75">
      <c r="A100" s="332"/>
      <c r="B100" s="488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458"/>
      <c r="O100" s="449"/>
      <c r="P100" s="449"/>
      <c r="Q100" s="449"/>
      <c r="R100" s="449"/>
      <c r="S100" s="458"/>
      <c r="T100" s="449"/>
      <c r="U100" s="449"/>
      <c r="V100" s="449"/>
    </row>
    <row x14ac:dyDescent="0.25" r="101" customHeight="1" ht="18.75">
      <c r="A101" s="332"/>
      <c r="B101" s="488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458"/>
      <c r="O101" s="449"/>
      <c r="P101" s="449"/>
      <c r="Q101" s="449"/>
      <c r="R101" s="449"/>
      <c r="S101" s="458"/>
      <c r="T101" s="449"/>
      <c r="U101" s="449"/>
      <c r="V101" s="449"/>
    </row>
    <row x14ac:dyDescent="0.25" r="102" customHeight="1" ht="18.75">
      <c r="A102" s="332"/>
      <c r="B102" s="6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6"/>
      <c r="O102" s="5"/>
      <c r="P102" s="5"/>
      <c r="Q102" s="5"/>
      <c r="R102" s="5"/>
      <c r="S102" s="6"/>
      <c r="T102" s="5"/>
      <c r="U102" s="449"/>
      <c r="V102" s="449"/>
    </row>
    <row x14ac:dyDescent="0.25" r="103" customHeight="1" ht="18.75">
      <c r="A103" s="332"/>
      <c r="B103" s="6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6"/>
      <c r="O103" s="5"/>
      <c r="P103" s="5"/>
      <c r="Q103" s="5"/>
      <c r="R103" s="5"/>
      <c r="S103" s="6"/>
      <c r="T103" s="5"/>
      <c r="U103" s="449"/>
      <c r="V103" s="449"/>
    </row>
  </sheetData>
  <mergeCells count="2">
    <mergeCell ref="C4:M4"/>
    <mergeCell ref="O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60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3" width="10.43357142857143" customWidth="1" bestFit="1"/>
    <col min="2" max="2" style="24" width="36.43357142857143" customWidth="1" bestFit="1"/>
    <col min="3" max="3" style="358" width="10.005" customWidth="1" bestFit="1"/>
    <col min="4" max="4" style="358" width="10.005" customWidth="1" bestFit="1"/>
    <col min="5" max="5" style="358" width="10.005" customWidth="1" bestFit="1"/>
    <col min="6" max="6" style="358" width="10.005" customWidth="1" bestFit="1"/>
    <col min="7" max="7" style="358" width="10.005" customWidth="1" bestFit="1"/>
    <col min="8" max="8" style="358" width="10.005" customWidth="1" bestFit="1"/>
    <col min="9" max="9" style="358" width="10.005" customWidth="1" bestFit="1"/>
    <col min="10" max="10" style="358" width="10.005" customWidth="1" bestFit="1"/>
    <col min="11" max="11" style="358" width="10.005" customWidth="1" bestFit="1"/>
    <col min="12" max="12" style="358" width="10.005" customWidth="1" bestFit="1"/>
    <col min="13" max="13" style="358" width="10.005" customWidth="1" bestFit="1"/>
    <col min="14" max="14" style="358" width="10.005" customWidth="1" bestFit="1"/>
    <col min="15" max="15" style="358" width="10.005" customWidth="1" bestFit="1"/>
    <col min="16" max="16" style="358" width="10.005" customWidth="1" bestFit="1"/>
    <col min="17" max="17" style="358" width="10.005" customWidth="1" bestFit="1"/>
    <col min="18" max="18" style="358" width="10.005" customWidth="1" bestFit="1"/>
    <col min="19" max="19" style="358" width="10.005" customWidth="1" bestFit="1"/>
    <col min="20" max="20" style="358" width="10.005" customWidth="1" bestFit="1"/>
    <col min="21" max="21" style="358" width="10.005" customWidth="1" bestFit="1"/>
    <col min="22" max="22" style="358" width="10.005" customWidth="1" bestFit="1"/>
    <col min="23" max="23" style="358" width="10.005" customWidth="1" bestFit="1"/>
    <col min="24" max="24" style="358" width="10.005" customWidth="1" bestFit="1"/>
    <col min="25" max="25" style="358" width="10.005" customWidth="1" bestFit="1"/>
    <col min="26" max="26" style="358" width="10.005" customWidth="1" bestFit="1"/>
    <col min="27" max="27" style="358" width="10.005" customWidth="1" bestFit="1"/>
    <col min="28" max="28" style="358" width="10.005" customWidth="1" bestFit="1"/>
    <col min="29" max="29" style="358" width="10.005" customWidth="1" bestFit="1"/>
    <col min="30" max="30" style="358" width="10.005" customWidth="1" bestFit="1"/>
    <col min="31" max="31" style="27" width="10.005" customWidth="1" bestFit="1"/>
    <col min="32" max="32" style="27" width="10.005" customWidth="1" bestFit="1"/>
    <col min="33" max="33" style="27" width="13.576428571428572" customWidth="1" bestFit="1" hidden="1"/>
    <col min="34" max="34" style="445" width="12.719285714285713" customWidth="1" bestFit="1"/>
    <col min="35" max="35" style="23" width="3.005" customWidth="1" bestFit="1"/>
    <col min="36" max="36" style="445" width="10.43357142857143" customWidth="1" bestFit="1"/>
    <col min="37" max="37" style="23" width="33.86214285714286" customWidth="1" bestFit="1"/>
    <col min="38" max="38" style="167" width="12.576428571428572" customWidth="1" bestFit="1"/>
    <col min="39" max="39" style="27" width="12.862142857142858" customWidth="1" bestFit="1"/>
    <col min="40" max="40" style="358" width="20.290714285714284" customWidth="1" bestFit="1"/>
  </cols>
  <sheetData>
    <row x14ac:dyDescent="0.25" r="1" customHeight="1" ht="18.75">
      <c r="A1" s="98" t="s">
        <v>175</v>
      </c>
      <c r="B1" s="99">
        <f>'Cash Flow'!C1</f>
      </c>
      <c r="C1" s="168">
        <f>TRANSPOSE('Cash Flow'!B8:B38)</f>
      </c>
      <c r="D1" s="168" t="s">
        <v>123</v>
      </c>
      <c r="E1" s="168" t="s">
        <v>124</v>
      </c>
      <c r="F1" s="168" t="s">
        <v>125</v>
      </c>
      <c r="G1" s="168" t="s">
        <v>126</v>
      </c>
      <c r="H1" s="168" t="s">
        <v>127</v>
      </c>
      <c r="I1" s="168" t="s">
        <v>128</v>
      </c>
      <c r="J1" s="168" t="s">
        <v>129</v>
      </c>
      <c r="K1" s="168" t="s">
        <v>123</v>
      </c>
      <c r="L1" s="168" t="s">
        <v>124</v>
      </c>
      <c r="M1" s="168" t="s">
        <v>125</v>
      </c>
      <c r="N1" s="168" t="s">
        <v>126</v>
      </c>
      <c r="O1" s="168" t="s">
        <v>127</v>
      </c>
      <c r="P1" s="168" t="s">
        <v>128</v>
      </c>
      <c r="Q1" s="168" t="s">
        <v>129</v>
      </c>
      <c r="R1" s="168" t="s">
        <v>123</v>
      </c>
      <c r="S1" s="168" t="s">
        <v>124</v>
      </c>
      <c r="T1" s="168" t="s">
        <v>125</v>
      </c>
      <c r="U1" s="168" t="s">
        <v>126</v>
      </c>
      <c r="V1" s="168" t="s">
        <v>127</v>
      </c>
      <c r="W1" s="168" t="s">
        <v>128</v>
      </c>
      <c r="X1" s="168" t="s">
        <v>129</v>
      </c>
      <c r="Y1" s="168" t="s">
        <v>123</v>
      </c>
      <c r="Z1" s="168" t="s">
        <v>124</v>
      </c>
      <c r="AA1" s="168" t="s">
        <v>125</v>
      </c>
      <c r="AB1" s="168" t="s">
        <v>126</v>
      </c>
      <c r="AC1" s="168" t="s">
        <v>127</v>
      </c>
      <c r="AD1" s="168" t="s">
        <v>128</v>
      </c>
      <c r="AE1" s="100" t="s">
        <v>129</v>
      </c>
      <c r="AF1" s="100" t="s">
        <v>123</v>
      </c>
      <c r="AG1" s="100" t="s">
        <v>124</v>
      </c>
      <c r="AH1" s="359"/>
      <c r="AI1" s="6"/>
      <c r="AJ1" s="359"/>
      <c r="AK1" s="6"/>
      <c r="AL1" s="101"/>
      <c r="AM1" s="5"/>
      <c r="AN1" s="334"/>
    </row>
    <row x14ac:dyDescent="0.25" r="2" customHeight="1" ht="18.75">
      <c r="A2" s="102" t="s">
        <v>130</v>
      </c>
      <c r="B2" s="103" t="s">
        <v>117</v>
      </c>
      <c r="C2" s="104">
        <f>'Cash Flow'!A8</f>
        <v>25568.708333333332</v>
      </c>
      <c r="D2" s="104">
        <f>C2+1</f>
        <v>25568.708333333332</v>
      </c>
      <c r="E2" s="104">
        <f>D2+1</f>
        <v>25568.708333333332</v>
      </c>
      <c r="F2" s="104">
        <f>E2+1</f>
        <v>25568.708333333332</v>
      </c>
      <c r="G2" s="104">
        <f>F2+1</f>
        <v>25568.708333333332</v>
      </c>
      <c r="H2" s="104">
        <f>G2+1</f>
        <v>25568.708333333332</v>
      </c>
      <c r="I2" s="104">
        <f>H2+1</f>
        <v>25568.708333333332</v>
      </c>
      <c r="J2" s="104">
        <f>I2+1</f>
        <v>25568.708333333332</v>
      </c>
      <c r="K2" s="104">
        <f>J2+1</f>
        <v>25568.708333333332</v>
      </c>
      <c r="L2" s="104">
        <f>K2+1</f>
        <v>25568.708333333332</v>
      </c>
      <c r="M2" s="104">
        <f>L2+1</f>
        <v>25568.708333333332</v>
      </c>
      <c r="N2" s="104">
        <f>M2+1</f>
        <v>25568.708333333332</v>
      </c>
      <c r="O2" s="104">
        <f>N2+1</f>
        <v>25568.708333333332</v>
      </c>
      <c r="P2" s="104">
        <f>O2+1</f>
        <v>25568.708333333332</v>
      </c>
      <c r="Q2" s="104">
        <f>P2+1</f>
        <v>25568.708333333332</v>
      </c>
      <c r="R2" s="104">
        <f>Q2+1</f>
        <v>25568.708333333332</v>
      </c>
      <c r="S2" s="104">
        <f>R2+1</f>
        <v>25568.708333333332</v>
      </c>
      <c r="T2" s="104">
        <f>S2+1</f>
        <v>25568.708333333332</v>
      </c>
      <c r="U2" s="104">
        <f>T2+1</f>
        <v>25568.708333333332</v>
      </c>
      <c r="V2" s="104">
        <f>U2+1</f>
        <v>25568.708333333332</v>
      </c>
      <c r="W2" s="104">
        <f>V2+1</f>
        <v>25568.708333333332</v>
      </c>
      <c r="X2" s="104">
        <f>W2+1</f>
        <v>25568.708333333332</v>
      </c>
      <c r="Y2" s="104">
        <f>X2+1</f>
        <v>25568.708333333332</v>
      </c>
      <c r="Z2" s="104">
        <f>Y2+1</f>
        <v>25568.708333333332</v>
      </c>
      <c r="AA2" s="104">
        <f>Z2+1</f>
        <v>25568.708333333332</v>
      </c>
      <c r="AB2" s="104">
        <f>AA2+1</f>
        <v>25568.708333333332</v>
      </c>
      <c r="AC2" s="104">
        <f>AB2+1</f>
        <v>25568.708333333332</v>
      </c>
      <c r="AD2" s="104">
        <f>AC2+1</f>
        <v>25568.708333333332</v>
      </c>
      <c r="AE2" s="104">
        <f>AD2+1</f>
        <v>25568.708333333332</v>
      </c>
      <c r="AF2" s="104">
        <f>AE2+1</f>
        <v>25568.708333333332</v>
      </c>
      <c r="AG2" s="104">
        <f>AF2+1</f>
        <v>25568.708333333332</v>
      </c>
      <c r="AH2" s="360" t="s">
        <v>131</v>
      </c>
      <c r="AI2" s="71"/>
      <c r="AJ2" s="361" t="s">
        <v>130</v>
      </c>
      <c r="AK2" s="103" t="s">
        <v>117</v>
      </c>
      <c r="AL2" s="101"/>
      <c r="AM2" s="5"/>
      <c r="AN2" s="334"/>
    </row>
    <row x14ac:dyDescent="0.25" r="3" customHeight="1" ht="18.75">
      <c r="A3" s="106" t="s">
        <v>1</v>
      </c>
      <c r="B3" s="107" t="s">
        <v>85</v>
      </c>
      <c r="C3" s="108">
        <v>82.79</v>
      </c>
      <c r="D3" s="109">
        <v>117.46</v>
      </c>
      <c r="E3" s="109">
        <v>36.97</v>
      </c>
      <c r="F3" s="109">
        <v>70.86</v>
      </c>
      <c r="G3" s="109">
        <v>48.43</v>
      </c>
      <c r="H3" s="109">
        <v>89.45</v>
      </c>
      <c r="I3" s="109">
        <v>78.67</v>
      </c>
      <c r="J3" s="109">
        <v>117.89</v>
      </c>
      <c r="K3" s="109">
        <v>114.83</v>
      </c>
      <c r="L3" s="109">
        <v>58.59</v>
      </c>
      <c r="M3" s="109">
        <v>78.82</v>
      </c>
      <c r="N3" s="109">
        <v>89.13</v>
      </c>
      <c r="O3" s="109">
        <v>111.78</v>
      </c>
      <c r="P3" s="109">
        <v>45.33</v>
      </c>
      <c r="Q3" s="109">
        <v>126.12</v>
      </c>
      <c r="R3" s="109">
        <v>71.66</v>
      </c>
      <c r="S3" s="109">
        <v>76.21</v>
      </c>
      <c r="T3" s="109">
        <v>91.7</v>
      </c>
      <c r="U3" s="109">
        <v>95.56</v>
      </c>
      <c r="V3" s="109">
        <v>52.47</v>
      </c>
      <c r="W3" s="109">
        <v>82.22</v>
      </c>
      <c r="X3" s="109">
        <v>96.58</v>
      </c>
      <c r="Y3" s="109">
        <v>119.68</v>
      </c>
      <c r="Z3" s="109">
        <v>124.06</v>
      </c>
      <c r="AA3" s="109">
        <v>108.14</v>
      </c>
      <c r="AB3" s="109">
        <v>71.95</v>
      </c>
      <c r="AC3" s="109">
        <v>54.27</v>
      </c>
      <c r="AD3" s="109">
        <v>138.16</v>
      </c>
      <c r="AE3" s="109">
        <v>78.34</v>
      </c>
      <c r="AF3" s="109">
        <v>87.83</v>
      </c>
      <c r="AG3" s="109"/>
      <c r="AH3" s="110">
        <f>SUM(C3:AG3)</f>
      </c>
      <c r="AI3" s="6"/>
      <c r="AJ3" s="362" t="s">
        <v>1</v>
      </c>
      <c r="AK3" s="107" t="s">
        <v>85</v>
      </c>
      <c r="AL3" s="22"/>
      <c r="AM3" s="22"/>
      <c r="AN3" s="334"/>
    </row>
    <row x14ac:dyDescent="0.25" r="4" customHeight="1" ht="18.75">
      <c r="A4" s="111" t="s">
        <v>47</v>
      </c>
      <c r="B4" s="112" t="s">
        <v>48</v>
      </c>
      <c r="C4" s="113">
        <v>11490.4</v>
      </c>
      <c r="D4" s="114">
        <v>11526.8</v>
      </c>
      <c r="E4" s="113">
        <v>7158.8</v>
      </c>
      <c r="F4" s="113">
        <v>8463.6</v>
      </c>
      <c r="G4" s="113">
        <v>8442.8</v>
      </c>
      <c r="H4" s="113">
        <v>9700.4</v>
      </c>
      <c r="I4" s="113">
        <v>9191</v>
      </c>
      <c r="J4" s="113">
        <v>13334.8</v>
      </c>
      <c r="K4" s="113">
        <v>11397.2</v>
      </c>
      <c r="L4" s="113">
        <v>7469.8</v>
      </c>
      <c r="M4" s="113">
        <v>9841.6</v>
      </c>
      <c r="N4" s="113">
        <v>11692.8</v>
      </c>
      <c r="O4" s="113">
        <v>11584.4</v>
      </c>
      <c r="P4" s="113">
        <v>7616.4</v>
      </c>
      <c r="Q4" s="113">
        <v>16137.6</v>
      </c>
      <c r="R4" s="113">
        <v>13764.4</v>
      </c>
      <c r="S4" s="113">
        <v>12672.4</v>
      </c>
      <c r="T4" s="113">
        <v>13249.8</v>
      </c>
      <c r="U4" s="113">
        <v>12515</v>
      </c>
      <c r="V4" s="113">
        <v>8838</v>
      </c>
      <c r="W4" s="113">
        <v>9891</v>
      </c>
      <c r="X4" s="113">
        <v>16796.2</v>
      </c>
      <c r="Y4" s="113">
        <v>13090.4</v>
      </c>
      <c r="Z4" s="113">
        <v>12859.6</v>
      </c>
      <c r="AA4" s="113">
        <v>13593.6</v>
      </c>
      <c r="AB4" s="113">
        <v>9272.8</v>
      </c>
      <c r="AC4" s="113">
        <v>7136</v>
      </c>
      <c r="AD4" s="113">
        <v>16176.2</v>
      </c>
      <c r="AE4" s="113">
        <v>12484</v>
      </c>
      <c r="AF4" s="113">
        <v>13847.4</v>
      </c>
      <c r="AG4" s="113"/>
      <c r="AH4" s="110">
        <f>SUM(C4:AG4)</f>
      </c>
      <c r="AI4" s="6"/>
      <c r="AJ4" s="363" t="s">
        <v>47</v>
      </c>
      <c r="AK4" s="112" t="s">
        <v>176</v>
      </c>
      <c r="AL4" s="22"/>
      <c r="AM4" s="22"/>
      <c r="AN4" s="334"/>
    </row>
    <row x14ac:dyDescent="0.25" r="5" customHeight="1" ht="18.75">
      <c r="A5" s="364" t="s">
        <v>177</v>
      </c>
      <c r="B5" s="365" t="s">
        <v>178</v>
      </c>
      <c r="C5" s="366"/>
      <c r="D5" s="367"/>
      <c r="E5" s="367"/>
      <c r="F5" s="367"/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7"/>
      <c r="R5" s="367"/>
      <c r="S5" s="367"/>
      <c r="T5" s="367"/>
      <c r="U5" s="367"/>
      <c r="V5" s="367"/>
      <c r="W5" s="367"/>
      <c r="X5" s="367"/>
      <c r="Y5" s="367"/>
      <c r="Z5" s="367"/>
      <c r="AA5" s="367"/>
      <c r="AB5" s="367"/>
      <c r="AC5" s="367"/>
      <c r="AD5" s="367"/>
      <c r="AE5" s="367"/>
      <c r="AF5" s="367"/>
      <c r="AG5" s="367"/>
      <c r="AH5" s="368">
        <f>SUM(C5:AG5)</f>
      </c>
      <c r="AI5" s="369"/>
      <c r="AJ5" s="370" t="s">
        <v>177</v>
      </c>
      <c r="AK5" s="365" t="s">
        <v>178</v>
      </c>
      <c r="AL5" s="101"/>
      <c r="AM5" s="22"/>
      <c r="AN5" s="334"/>
    </row>
    <row x14ac:dyDescent="0.25" r="6" customHeight="1" ht="18.75">
      <c r="A6" s="111" t="s">
        <v>51</v>
      </c>
      <c r="B6" s="112" t="s">
        <v>52</v>
      </c>
      <c r="C6" s="113">
        <v>1255</v>
      </c>
      <c r="D6" s="114">
        <v>947.5</v>
      </c>
      <c r="E6" s="114">
        <v>355.5</v>
      </c>
      <c r="F6" s="114">
        <v>1798</v>
      </c>
      <c r="G6" s="114">
        <v>1170.5</v>
      </c>
      <c r="H6" s="114">
        <v>691</v>
      </c>
      <c r="I6" s="114">
        <v>80</v>
      </c>
      <c r="J6" s="114">
        <v>1185</v>
      </c>
      <c r="K6" s="114">
        <v>1145</v>
      </c>
      <c r="L6" s="114">
        <v>702</v>
      </c>
      <c r="M6" s="114"/>
      <c r="N6" s="114">
        <v>100</v>
      </c>
      <c r="O6" s="114">
        <v>200</v>
      </c>
      <c r="P6" s="114">
        <v>2740</v>
      </c>
      <c r="Q6" s="114">
        <v>1040</v>
      </c>
      <c r="R6" s="114">
        <v>18</v>
      </c>
      <c r="S6" s="114">
        <v>210</v>
      </c>
      <c r="T6" s="114">
        <v>1933</v>
      </c>
      <c r="U6" s="114">
        <v>785</v>
      </c>
      <c r="V6" s="114">
        <v>2468</v>
      </c>
      <c r="W6" s="114">
        <v>665</v>
      </c>
      <c r="X6" s="114">
        <v>1224</v>
      </c>
      <c r="Y6" s="114">
        <v>975</v>
      </c>
      <c r="Z6" s="114">
        <v>494</v>
      </c>
      <c r="AA6" s="114">
        <v>386</v>
      </c>
      <c r="AB6" s="114">
        <v>65</v>
      </c>
      <c r="AC6" s="114">
        <v>745</v>
      </c>
      <c r="AD6" s="114">
        <v>785</v>
      </c>
      <c r="AE6" s="114">
        <v>1765</v>
      </c>
      <c r="AF6" s="114">
        <v>352</v>
      </c>
      <c r="AG6" s="114"/>
      <c r="AH6" s="110">
        <f>SUM(C6:AG6)</f>
      </c>
      <c r="AI6" s="71"/>
      <c r="AJ6" s="363" t="s">
        <v>51</v>
      </c>
      <c r="AK6" s="112" t="s">
        <v>179</v>
      </c>
      <c r="AL6" s="101"/>
      <c r="AM6" s="22"/>
      <c r="AN6" s="334"/>
    </row>
    <row x14ac:dyDescent="0.25" r="7" customHeight="1" ht="18.75">
      <c r="A7" s="111" t="s">
        <v>51</v>
      </c>
      <c r="B7" s="112" t="s">
        <v>180</v>
      </c>
      <c r="C7" s="113">
        <v>1260</v>
      </c>
      <c r="D7" s="114">
        <v>1540</v>
      </c>
      <c r="E7" s="114">
        <v>1180</v>
      </c>
      <c r="F7" s="114">
        <v>180</v>
      </c>
      <c r="G7" s="114">
        <v>1360</v>
      </c>
      <c r="H7" s="114">
        <v>1220</v>
      </c>
      <c r="I7" s="114">
        <v>1400</v>
      </c>
      <c r="J7" s="114">
        <v>2800</v>
      </c>
      <c r="K7" s="114">
        <v>1720</v>
      </c>
      <c r="L7" s="114">
        <v>1360</v>
      </c>
      <c r="M7" s="114">
        <v>2940</v>
      </c>
      <c r="N7" s="114">
        <v>1040</v>
      </c>
      <c r="O7" s="114">
        <v>1440</v>
      </c>
      <c r="P7" s="114">
        <v>900</v>
      </c>
      <c r="Q7" s="114">
        <v>1180</v>
      </c>
      <c r="R7" s="114">
        <v>2860</v>
      </c>
      <c r="S7" s="114">
        <v>860</v>
      </c>
      <c r="T7" s="114">
        <v>860</v>
      </c>
      <c r="U7" s="114">
        <v>1580</v>
      </c>
      <c r="V7" s="114">
        <v>1540</v>
      </c>
      <c r="W7" s="114">
        <v>540</v>
      </c>
      <c r="X7" s="114">
        <v>2840</v>
      </c>
      <c r="Y7" s="114">
        <v>1860</v>
      </c>
      <c r="Z7" s="114">
        <v>540</v>
      </c>
      <c r="AA7" s="114">
        <v>1760</v>
      </c>
      <c r="AB7" s="114">
        <v>860</v>
      </c>
      <c r="AC7" s="114">
        <v>1680</v>
      </c>
      <c r="AD7" s="114">
        <v>1040</v>
      </c>
      <c r="AE7" s="114">
        <v>2220</v>
      </c>
      <c r="AF7" s="114">
        <v>3420</v>
      </c>
      <c r="AG7" s="114"/>
      <c r="AH7" s="110">
        <f>SUM(C7:AG7)</f>
      </c>
      <c r="AI7" s="71"/>
      <c r="AJ7" s="363" t="s">
        <v>51</v>
      </c>
      <c r="AK7" s="112" t="s">
        <v>180</v>
      </c>
      <c r="AL7" s="101"/>
      <c r="AM7" s="22"/>
      <c r="AN7" s="334"/>
    </row>
    <row x14ac:dyDescent="0.25" r="8" customHeight="1" ht="18.75">
      <c r="A8" s="111" t="s">
        <v>53</v>
      </c>
      <c r="B8" s="112" t="s">
        <v>181</v>
      </c>
      <c r="C8" s="113"/>
      <c r="D8" s="114"/>
      <c r="E8" s="114"/>
      <c r="F8" s="114"/>
      <c r="G8" s="114"/>
      <c r="H8" s="114"/>
      <c r="I8" s="114"/>
      <c r="J8" s="114"/>
      <c r="K8" s="114">
        <v>237.55</v>
      </c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0">
        <f>SUM(C8:AG8)</f>
      </c>
      <c r="AI8" s="71"/>
      <c r="AJ8" s="363" t="s">
        <v>53</v>
      </c>
      <c r="AK8" s="112" t="s">
        <v>54</v>
      </c>
      <c r="AL8" s="101"/>
      <c r="AM8" s="22"/>
      <c r="AN8" s="334"/>
    </row>
    <row x14ac:dyDescent="0.25" r="9" customHeight="1" ht="18.75">
      <c r="A9" s="111" t="s">
        <v>49</v>
      </c>
      <c r="B9" s="112" t="s">
        <v>50</v>
      </c>
      <c r="C9" s="113">
        <v>528</v>
      </c>
      <c r="D9" s="114">
        <v>780</v>
      </c>
      <c r="E9" s="114">
        <v>401</v>
      </c>
      <c r="F9" s="114">
        <v>559</v>
      </c>
      <c r="G9" s="114">
        <v>290</v>
      </c>
      <c r="H9" s="114">
        <v>551</v>
      </c>
      <c r="I9" s="114">
        <v>420</v>
      </c>
      <c r="J9" s="114">
        <v>640</v>
      </c>
      <c r="K9" s="114">
        <v>524</v>
      </c>
      <c r="L9" s="114">
        <v>385</v>
      </c>
      <c r="M9" s="114">
        <v>641</v>
      </c>
      <c r="N9" s="114">
        <v>585</v>
      </c>
      <c r="O9" s="114">
        <v>772</v>
      </c>
      <c r="P9" s="114">
        <v>360</v>
      </c>
      <c r="Q9" s="114">
        <v>580</v>
      </c>
      <c r="R9" s="114">
        <v>774</v>
      </c>
      <c r="S9" s="114">
        <v>735</v>
      </c>
      <c r="T9" s="114">
        <v>540</v>
      </c>
      <c r="U9" s="114">
        <v>663</v>
      </c>
      <c r="V9" s="114">
        <v>371</v>
      </c>
      <c r="W9" s="114">
        <v>371</v>
      </c>
      <c r="X9" s="114">
        <v>875</v>
      </c>
      <c r="Y9" s="114">
        <v>465</v>
      </c>
      <c r="Z9" s="114">
        <v>751</v>
      </c>
      <c r="AA9" s="114">
        <v>872</v>
      </c>
      <c r="AB9" s="114">
        <v>302</v>
      </c>
      <c r="AC9" s="114">
        <v>384</v>
      </c>
      <c r="AD9" s="114">
        <v>645</v>
      </c>
      <c r="AE9" s="114">
        <v>786</v>
      </c>
      <c r="AF9" s="114">
        <v>697</v>
      </c>
      <c r="AG9" s="114"/>
      <c r="AH9" s="110">
        <f>SUM(C9:AG9)</f>
      </c>
      <c r="AI9" s="6"/>
      <c r="AJ9" s="363" t="s">
        <v>49</v>
      </c>
      <c r="AK9" s="112" t="s">
        <v>50</v>
      </c>
      <c r="AL9" s="101"/>
      <c r="AM9" s="22"/>
      <c r="AN9" s="334"/>
    </row>
    <row x14ac:dyDescent="0.25" r="10" customHeight="1" ht="18.75">
      <c r="A10" s="111" t="s">
        <v>55</v>
      </c>
      <c r="B10" s="112" t="s">
        <v>182</v>
      </c>
      <c r="C10" s="113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0">
        <f>SUM(C10:AG10)</f>
      </c>
      <c r="AI10" s="71"/>
      <c r="AJ10" s="363" t="s">
        <v>55</v>
      </c>
      <c r="AK10" s="112" t="s">
        <v>183</v>
      </c>
      <c r="AL10" s="101"/>
      <c r="AM10" s="22"/>
      <c r="AN10" s="334"/>
    </row>
    <row x14ac:dyDescent="0.25" r="11" customHeight="1" ht="18.75">
      <c r="A11" s="111" t="s">
        <v>86</v>
      </c>
      <c r="B11" s="112" t="s">
        <v>87</v>
      </c>
      <c r="C11" s="113"/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0">
        <f>SUM(C11:AG11)</f>
      </c>
      <c r="AI11" s="71"/>
      <c r="AJ11" s="363" t="s">
        <v>86</v>
      </c>
      <c r="AK11" s="112" t="s">
        <v>87</v>
      </c>
      <c r="AL11" s="101"/>
      <c r="AM11" s="22"/>
      <c r="AN11" s="334"/>
    </row>
    <row x14ac:dyDescent="0.25" r="12" customHeight="1" ht="18.75">
      <c r="A12" s="111" t="s">
        <v>89</v>
      </c>
      <c r="B12" s="112" t="s">
        <v>90</v>
      </c>
      <c r="C12" s="113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0">
        <f>SUM(C12:AG12)</f>
      </c>
      <c r="AI12" s="71"/>
      <c r="AJ12" s="363" t="s">
        <v>89</v>
      </c>
      <c r="AK12" s="112" t="s">
        <v>90</v>
      </c>
      <c r="AL12" s="101"/>
      <c r="AM12" s="22"/>
      <c r="AN12" s="334"/>
    </row>
    <row x14ac:dyDescent="0.25" r="13" customHeight="1" ht="18.75">
      <c r="A13" s="111" t="s">
        <v>92</v>
      </c>
      <c r="B13" s="112" t="s">
        <v>93</v>
      </c>
      <c r="C13" s="113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0">
        <f>SUM(C13:AG13)</f>
      </c>
      <c r="AI13" s="71"/>
      <c r="AJ13" s="363" t="s">
        <v>92</v>
      </c>
      <c r="AK13" s="112" t="s">
        <v>93</v>
      </c>
      <c r="AL13" s="101"/>
      <c r="AM13" s="22"/>
      <c r="AN13" s="334"/>
    </row>
    <row x14ac:dyDescent="0.25" r="14" customHeight="1" ht="18.75">
      <c r="A14" s="111" t="s">
        <v>57</v>
      </c>
      <c r="B14" s="112" t="s">
        <v>184</v>
      </c>
      <c r="C14" s="113">
        <v>48</v>
      </c>
      <c r="D14" s="114">
        <v>269</v>
      </c>
      <c r="E14" s="114">
        <v>12</v>
      </c>
      <c r="F14" s="114">
        <v>32</v>
      </c>
      <c r="G14" s="114">
        <v>64</v>
      </c>
      <c r="H14" s="114">
        <v>40</v>
      </c>
      <c r="I14" s="114">
        <v>24</v>
      </c>
      <c r="J14" s="114">
        <v>28</v>
      </c>
      <c r="K14" s="114">
        <v>290</v>
      </c>
      <c r="L14" s="114">
        <v>24</v>
      </c>
      <c r="M14" s="114">
        <v>118</v>
      </c>
      <c r="N14" s="114">
        <v>32</v>
      </c>
      <c r="O14" s="114">
        <v>76</v>
      </c>
      <c r="P14" s="114">
        <v>24</v>
      </c>
      <c r="Q14" s="114">
        <v>314</v>
      </c>
      <c r="R14" s="114">
        <v>44</v>
      </c>
      <c r="S14" s="114">
        <v>72</v>
      </c>
      <c r="T14" s="114">
        <v>32</v>
      </c>
      <c r="U14" s="114">
        <v>171</v>
      </c>
      <c r="V14" s="114">
        <v>64</v>
      </c>
      <c r="W14" s="114">
        <v>36</v>
      </c>
      <c r="X14" s="114">
        <v>176</v>
      </c>
      <c r="Y14" s="114">
        <v>116</v>
      </c>
      <c r="Z14" s="114">
        <v>32</v>
      </c>
      <c r="AA14" s="114">
        <v>52</v>
      </c>
      <c r="AB14" s="114">
        <v>44</v>
      </c>
      <c r="AC14" s="114">
        <v>84</v>
      </c>
      <c r="AD14" s="114">
        <v>241</v>
      </c>
      <c r="AE14" s="114">
        <v>52</v>
      </c>
      <c r="AF14" s="114">
        <v>32</v>
      </c>
      <c r="AG14" s="114"/>
      <c r="AH14" s="110">
        <f>SUM(C14:AG14)</f>
      </c>
      <c r="AI14" s="71"/>
      <c r="AJ14" s="363" t="s">
        <v>57</v>
      </c>
      <c r="AK14" s="112" t="s">
        <v>58</v>
      </c>
      <c r="AL14" s="101"/>
      <c r="AM14" s="5"/>
      <c r="AN14" s="334"/>
    </row>
    <row x14ac:dyDescent="0.25" r="15" customHeight="1" ht="18.75">
      <c r="A15" s="111" t="s">
        <v>59</v>
      </c>
      <c r="B15" s="112" t="s">
        <v>60</v>
      </c>
      <c r="C15" s="113">
        <v>881.18</v>
      </c>
      <c r="D15" s="114">
        <v>1248.09</v>
      </c>
      <c r="E15" s="114">
        <v>393.77</v>
      </c>
      <c r="F15" s="114">
        <v>757.61</v>
      </c>
      <c r="G15" s="114">
        <v>514.44</v>
      </c>
      <c r="H15" s="114">
        <v>950.39</v>
      </c>
      <c r="I15" s="114">
        <v>835.33</v>
      </c>
      <c r="J15" s="114">
        <v>1253.73</v>
      </c>
      <c r="K15" s="114">
        <v>984.1</v>
      </c>
      <c r="L15" s="114">
        <v>620.27</v>
      </c>
      <c r="M15" s="114">
        <v>850.92</v>
      </c>
      <c r="N15" s="114">
        <v>949.74</v>
      </c>
      <c r="O15" s="114">
        <v>1193.09</v>
      </c>
      <c r="P15" s="114">
        <v>485.54</v>
      </c>
      <c r="Q15" s="114">
        <v>1346.53</v>
      </c>
      <c r="R15" s="114">
        <v>764.34</v>
      </c>
      <c r="S15" s="114">
        <v>811.02</v>
      </c>
      <c r="T15" s="114">
        <v>978.29</v>
      </c>
      <c r="U15" s="114">
        <v>1021.3</v>
      </c>
      <c r="V15" s="114">
        <v>559.83</v>
      </c>
      <c r="W15" s="114">
        <v>876.4</v>
      </c>
      <c r="X15" s="114">
        <v>1029.92</v>
      </c>
      <c r="Y15" s="114">
        <v>1276.06</v>
      </c>
      <c r="Z15" s="114">
        <v>1323.42</v>
      </c>
      <c r="AA15" s="114">
        <v>1154.85</v>
      </c>
      <c r="AB15" s="114">
        <v>763.59</v>
      </c>
      <c r="AC15" s="114">
        <v>579.3</v>
      </c>
      <c r="AD15" s="114">
        <v>1474.21</v>
      </c>
      <c r="AE15" s="114">
        <v>837.39</v>
      </c>
      <c r="AF15" s="114">
        <v>937.17</v>
      </c>
      <c r="AG15" s="114"/>
      <c r="AH15" s="110">
        <f>SUM(C15:AG15)</f>
      </c>
      <c r="AI15" s="71"/>
      <c r="AJ15" s="363" t="s">
        <v>59</v>
      </c>
      <c r="AK15" s="112" t="s">
        <v>60</v>
      </c>
      <c r="AL15" s="101"/>
      <c r="AM15" s="5"/>
      <c r="AN15" s="334"/>
    </row>
    <row x14ac:dyDescent="0.25" r="16" customHeight="1" ht="18.75">
      <c r="A16" s="111" t="s">
        <v>61</v>
      </c>
      <c r="B16" s="112" t="s">
        <v>62</v>
      </c>
      <c r="C16" s="113"/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0">
        <f>SUM(C16:AG16)</f>
      </c>
      <c r="AI16" s="71"/>
      <c r="AJ16" s="363" t="s">
        <v>185</v>
      </c>
      <c r="AK16" s="112" t="s">
        <v>62</v>
      </c>
      <c r="AL16" s="101"/>
      <c r="AM16" s="5"/>
      <c r="AN16" s="334"/>
    </row>
    <row x14ac:dyDescent="0.25" r="17" customHeight="1" ht="18.75">
      <c r="A17" s="111" t="s">
        <v>59</v>
      </c>
      <c r="B17" s="112" t="s">
        <v>186</v>
      </c>
      <c r="C17" s="113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0">
        <f>SUM(C17:AG17)</f>
      </c>
      <c r="AI17" s="71"/>
      <c r="AJ17" s="363" t="s">
        <v>59</v>
      </c>
      <c r="AK17" s="112" t="s">
        <v>186</v>
      </c>
      <c r="AL17" s="101"/>
      <c r="AM17" s="5"/>
      <c r="AN17" s="334"/>
    </row>
    <row x14ac:dyDescent="0.25" r="18" customHeight="1" ht="18.75">
      <c r="A18" s="111" t="s">
        <v>63</v>
      </c>
      <c r="B18" s="112" t="s">
        <v>64</v>
      </c>
      <c r="C18" s="113">
        <v>40</v>
      </c>
      <c r="D18" s="114">
        <v>412.5</v>
      </c>
      <c r="E18" s="114">
        <v>91.5</v>
      </c>
      <c r="F18" s="114">
        <v>165</v>
      </c>
      <c r="G18" s="114">
        <v>91.5</v>
      </c>
      <c r="H18" s="114"/>
      <c r="I18" s="114"/>
      <c r="J18" s="114">
        <v>235</v>
      </c>
      <c r="K18" s="114">
        <v>70</v>
      </c>
      <c r="L18" s="114">
        <v>255</v>
      </c>
      <c r="M18" s="114"/>
      <c r="N18" s="114">
        <v>88</v>
      </c>
      <c r="O18" s="114">
        <v>24</v>
      </c>
      <c r="P18" s="114">
        <v>509</v>
      </c>
      <c r="Q18" s="114">
        <v>285</v>
      </c>
      <c r="R18" s="114"/>
      <c r="S18" s="114">
        <v>48</v>
      </c>
      <c r="T18" s="114">
        <v>189</v>
      </c>
      <c r="U18" s="114">
        <v>108</v>
      </c>
      <c r="V18" s="114">
        <v>409</v>
      </c>
      <c r="W18" s="114">
        <v>132</v>
      </c>
      <c r="X18" s="114">
        <v>120</v>
      </c>
      <c r="Y18" s="114">
        <v>425</v>
      </c>
      <c r="Z18" s="114">
        <v>215</v>
      </c>
      <c r="AA18" s="114">
        <v>134</v>
      </c>
      <c r="AB18" s="114"/>
      <c r="AC18" s="114">
        <v>24</v>
      </c>
      <c r="AD18" s="114"/>
      <c r="AE18" s="114">
        <v>-125</v>
      </c>
      <c r="AF18" s="114"/>
      <c r="AG18" s="114"/>
      <c r="AH18" s="110">
        <f>SUM(C18:AG18)</f>
      </c>
      <c r="AI18" s="71"/>
      <c r="AJ18" s="363" t="s">
        <v>63</v>
      </c>
      <c r="AK18" s="112" t="s">
        <v>164</v>
      </c>
      <c r="AL18" s="22"/>
      <c r="AM18" s="5"/>
      <c r="AN18" s="334"/>
    </row>
    <row x14ac:dyDescent="0.25" r="19" customHeight="1" ht="18.75">
      <c r="A19" s="111" t="s">
        <v>65</v>
      </c>
      <c r="B19" s="112" t="s">
        <v>66</v>
      </c>
      <c r="C19" s="113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0">
        <f>SUM(C19:AG19)</f>
      </c>
      <c r="AI19" s="71"/>
      <c r="AJ19" s="363" t="s">
        <v>65</v>
      </c>
      <c r="AK19" s="112" t="s">
        <v>66</v>
      </c>
      <c r="AL19" s="101"/>
      <c r="AM19" s="5"/>
      <c r="AN19" s="334"/>
    </row>
    <row x14ac:dyDescent="0.25" r="20" customHeight="1" ht="18.75">
      <c r="A20" s="111" t="s">
        <v>67</v>
      </c>
      <c r="B20" s="112" t="s">
        <v>68</v>
      </c>
      <c r="C20" s="113"/>
      <c r="D20" s="114"/>
      <c r="E20" s="114"/>
      <c r="F20" s="114">
        <v>90</v>
      </c>
      <c r="G20" s="114"/>
      <c r="H20" s="114"/>
      <c r="I20" s="114"/>
      <c r="J20" s="114"/>
      <c r="K20" s="114"/>
      <c r="L20" s="114">
        <v>90</v>
      </c>
      <c r="M20" s="114"/>
      <c r="N20" s="114">
        <v>45</v>
      </c>
      <c r="O20" s="114">
        <v>45</v>
      </c>
      <c r="P20" s="114"/>
      <c r="Q20" s="114"/>
      <c r="R20" s="114"/>
      <c r="S20" s="114"/>
      <c r="T20" s="114">
        <v>270</v>
      </c>
      <c r="U20" s="114">
        <v>180</v>
      </c>
      <c r="V20" s="114">
        <v>360</v>
      </c>
      <c r="W20" s="114">
        <v>270</v>
      </c>
      <c r="X20" s="114">
        <v>180</v>
      </c>
      <c r="Y20" s="114"/>
      <c r="Z20" s="114"/>
      <c r="AA20" s="114">
        <v>45</v>
      </c>
      <c r="AB20" s="114">
        <v>45</v>
      </c>
      <c r="AC20" s="114"/>
      <c r="AD20" s="114"/>
      <c r="AE20" s="114"/>
      <c r="AF20" s="114"/>
      <c r="AG20" s="114"/>
      <c r="AH20" s="110">
        <f>SUM(C20:AG20)</f>
      </c>
      <c r="AI20" s="71"/>
      <c r="AJ20" s="363" t="s">
        <v>67</v>
      </c>
      <c r="AK20" s="112" t="s">
        <v>165</v>
      </c>
      <c r="AL20" s="101"/>
      <c r="AM20" s="5"/>
      <c r="AN20" s="334"/>
    </row>
    <row x14ac:dyDescent="0.25" r="21" customHeight="1" ht="18.75">
      <c r="A21" s="111" t="s">
        <v>69</v>
      </c>
      <c r="B21" s="112" t="s">
        <v>70</v>
      </c>
      <c r="C21" s="113"/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>
        <v>5</v>
      </c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>
        <v>5</v>
      </c>
      <c r="AC21" s="114"/>
      <c r="AD21" s="114">
        <v>5</v>
      </c>
      <c r="AE21" s="114"/>
      <c r="AF21" s="114"/>
      <c r="AG21" s="114"/>
      <c r="AH21" s="110">
        <f>SUM(C21:AG21)</f>
      </c>
      <c r="AI21" s="71"/>
      <c r="AJ21" s="363" t="s">
        <v>69</v>
      </c>
      <c r="AK21" s="112" t="s">
        <v>187</v>
      </c>
      <c r="AL21" s="101"/>
      <c r="AM21" s="5"/>
      <c r="AN21" s="334"/>
    </row>
    <row x14ac:dyDescent="0.25" r="22" customHeight="1" ht="18.75">
      <c r="A22" s="111" t="s">
        <v>71</v>
      </c>
      <c r="B22" s="112" t="s">
        <v>72</v>
      </c>
      <c r="C22" s="113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0">
        <f>SUM(C22:AG22)</f>
      </c>
      <c r="AI22" s="6"/>
      <c r="AJ22" s="363" t="s">
        <v>71</v>
      </c>
      <c r="AK22" s="112" t="s">
        <v>72</v>
      </c>
      <c r="AL22" s="101"/>
      <c r="AM22" s="5"/>
      <c r="AN22" s="334"/>
    </row>
    <row x14ac:dyDescent="0.25" r="23" customHeight="1" ht="18.75">
      <c r="A23" s="111" t="s">
        <v>73</v>
      </c>
      <c r="B23" s="112" t="s">
        <v>74</v>
      </c>
      <c r="C23" s="113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0">
        <f>SUM(C23:AG23)</f>
      </c>
      <c r="AI23" s="6"/>
      <c r="AJ23" s="363" t="s">
        <v>73</v>
      </c>
      <c r="AK23" s="112" t="s">
        <v>74</v>
      </c>
      <c r="AL23" s="101"/>
      <c r="AM23" s="5"/>
      <c r="AN23" s="334"/>
    </row>
    <row x14ac:dyDescent="0.25" r="24" customHeight="1" ht="18.75">
      <c r="A24" s="111" t="s">
        <v>75</v>
      </c>
      <c r="B24" s="112" t="s">
        <v>76</v>
      </c>
      <c r="C24" s="113"/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0">
        <f>SUM(C24:AG24)</f>
      </c>
      <c r="AI24" s="6"/>
      <c r="AJ24" s="363" t="s">
        <v>75</v>
      </c>
      <c r="AK24" s="112" t="s">
        <v>76</v>
      </c>
      <c r="AL24" s="101"/>
      <c r="AM24" s="5"/>
      <c r="AN24" s="334"/>
    </row>
    <row x14ac:dyDescent="0.25" r="25" customHeight="1" ht="20.25">
      <c r="A25" s="111" t="s">
        <v>77</v>
      </c>
      <c r="B25" s="112" t="s">
        <v>78</v>
      </c>
      <c r="C25" s="113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0">
        <f>SUM(C25:AG25)</f>
      </c>
      <c r="AI25" s="6"/>
      <c r="AJ25" s="363" t="s">
        <v>77</v>
      </c>
      <c r="AK25" s="112" t="s">
        <v>78</v>
      </c>
      <c r="AL25" s="101"/>
      <c r="AM25" s="22"/>
      <c r="AN25" s="334"/>
    </row>
    <row x14ac:dyDescent="0.25" r="26" customHeight="1" ht="20.25">
      <c r="A26" s="111" t="s">
        <v>79</v>
      </c>
      <c r="B26" s="112" t="s">
        <v>80</v>
      </c>
      <c r="C26" s="184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85"/>
      <c r="R26" s="185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10">
        <f>SUM(C26:AG26)</f>
      </c>
      <c r="AI26" s="6"/>
      <c r="AJ26" s="363" t="s">
        <v>79</v>
      </c>
      <c r="AK26" s="112" t="s">
        <v>80</v>
      </c>
      <c r="AL26" s="101"/>
      <c r="AM26" s="5"/>
      <c r="AN26" s="334"/>
    </row>
    <row x14ac:dyDescent="0.25" r="27" customHeight="1" ht="20.25">
      <c r="A27" s="111" t="s">
        <v>81</v>
      </c>
      <c r="B27" s="112" t="s">
        <v>82</v>
      </c>
      <c r="C27" s="184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10">
        <f>SUM(C27:AG27)</f>
      </c>
      <c r="AI27" s="6"/>
      <c r="AJ27" s="371" t="s">
        <v>81</v>
      </c>
      <c r="AK27" s="372" t="s">
        <v>82</v>
      </c>
      <c r="AL27" s="101"/>
      <c r="AM27" s="5"/>
      <c r="AN27" s="334"/>
    </row>
    <row x14ac:dyDescent="0.25" r="28" customHeight="1" ht="20.25">
      <c r="A28" s="187" t="s">
        <v>95</v>
      </c>
      <c r="B28" s="191" t="s">
        <v>96</v>
      </c>
      <c r="C28" s="373"/>
      <c r="D28" s="238"/>
      <c r="E28" s="238">
        <v>100</v>
      </c>
      <c r="F28" s="238"/>
      <c r="G28" s="238"/>
      <c r="H28" s="238"/>
      <c r="I28" s="238"/>
      <c r="J28" s="238"/>
      <c r="K28" s="238"/>
      <c r="L28" s="238"/>
      <c r="M28" s="238"/>
      <c r="N28" s="238"/>
      <c r="O28" s="238"/>
      <c r="P28" s="238"/>
      <c r="Q28" s="238"/>
      <c r="R28" s="238"/>
      <c r="S28" s="238"/>
      <c r="T28" s="238"/>
      <c r="U28" s="238"/>
      <c r="V28" s="238"/>
      <c r="W28" s="238"/>
      <c r="X28" s="238"/>
      <c r="Y28" s="238">
        <v>10</v>
      </c>
      <c r="Z28" s="238"/>
      <c r="AA28" s="238"/>
      <c r="AB28" s="238"/>
      <c r="AC28" s="238"/>
      <c r="AD28" s="238"/>
      <c r="AE28" s="238"/>
      <c r="AF28" s="238"/>
      <c r="AG28" s="238"/>
      <c r="AH28" s="110">
        <f>SUM(C28:AG28)</f>
      </c>
      <c r="AI28" s="6"/>
      <c r="AJ28" s="374" t="s">
        <v>95</v>
      </c>
      <c r="AK28" s="236" t="s">
        <v>188</v>
      </c>
      <c r="AL28" s="22"/>
      <c r="AM28" s="5"/>
      <c r="AN28" s="334"/>
    </row>
    <row x14ac:dyDescent="0.25" r="29" customHeight="1" ht="18.75">
      <c r="A29" s="115"/>
      <c r="B29" s="9" t="s">
        <v>9</v>
      </c>
      <c r="C29" s="116">
        <f>SUM(C3:C28)</f>
      </c>
      <c r="D29" s="116">
        <f>SUM(D3:D28)</f>
      </c>
      <c r="E29" s="116">
        <f>SUM(E3:E28)</f>
      </c>
      <c r="F29" s="116">
        <f>SUM(F3:F28)</f>
      </c>
      <c r="G29" s="116">
        <f>SUM(G3:G28)</f>
      </c>
      <c r="H29" s="116">
        <f>SUM(H3:H28)</f>
      </c>
      <c r="I29" s="116">
        <f>SUM(I3:I28)</f>
      </c>
      <c r="J29" s="116">
        <f>SUM(J3:J28)</f>
      </c>
      <c r="K29" s="116">
        <f>SUM(K3:K28)</f>
      </c>
      <c r="L29" s="116">
        <f>SUM(L3:L28)</f>
      </c>
      <c r="M29" s="116">
        <f>SUM(M3:M28)</f>
      </c>
      <c r="N29" s="116">
        <f>SUM(N3:N28)</f>
      </c>
      <c r="O29" s="116">
        <f>SUM(O3:O28)</f>
      </c>
      <c r="P29" s="116">
        <f>SUM(P3:P28)</f>
      </c>
      <c r="Q29" s="116">
        <f>SUM(Q3:Q28)</f>
      </c>
      <c r="R29" s="116">
        <f>SUM(R3:R28)</f>
      </c>
      <c r="S29" s="116">
        <f>SUM(S3:S28)</f>
      </c>
      <c r="T29" s="116">
        <f>SUM(T3:T28)</f>
      </c>
      <c r="U29" s="116">
        <f>SUM(U3:U28)</f>
      </c>
      <c r="V29" s="116">
        <f>SUM(V3:V28)</f>
      </c>
      <c r="W29" s="116">
        <f>SUM(W3:W28)</f>
      </c>
      <c r="X29" s="116">
        <f>SUM(X3:X28)</f>
      </c>
      <c r="Y29" s="116">
        <f>SUM(Y3:Y28)</f>
      </c>
      <c r="Z29" s="116">
        <f>SUM(Z3:Z28)</f>
      </c>
      <c r="AA29" s="116">
        <f>SUM(AA3:AA28)</f>
      </c>
      <c r="AB29" s="116">
        <f>SUM(AB3:AB28)</f>
      </c>
      <c r="AC29" s="116">
        <f>SUM(AC3:AC28)</f>
      </c>
      <c r="AD29" s="116">
        <f>SUM(AD3:AD28)</f>
      </c>
      <c r="AE29" s="116">
        <f>SUM(AE3:AE28)</f>
      </c>
      <c r="AF29" s="116">
        <f>SUM(AF3:AF28)</f>
      </c>
      <c r="AG29" s="116">
        <f>SUM(AG3:AG28)</f>
      </c>
      <c r="AH29" s="117">
        <f>SUM(C3:AG28)</f>
      </c>
      <c r="AI29" s="118"/>
      <c r="AJ29" s="375"/>
      <c r="AK29" s="120" t="s">
        <v>9</v>
      </c>
      <c r="AL29" s="101"/>
      <c r="AM29" s="5"/>
      <c r="AN29" s="334"/>
    </row>
    <row x14ac:dyDescent="0.25" r="30" customHeight="1" ht="18.75">
      <c r="A30" s="376"/>
      <c r="B30" s="12" t="s">
        <v>189</v>
      </c>
      <c r="C30" s="114">
        <v>15585.37</v>
      </c>
      <c r="D30" s="114">
        <v>16841.35</v>
      </c>
      <c r="E30" s="114">
        <v>9729.54</v>
      </c>
      <c r="F30" s="114">
        <v>12116.07</v>
      </c>
      <c r="G30" s="114">
        <v>11981.67</v>
      </c>
      <c r="H30" s="114">
        <v>13242.24</v>
      </c>
      <c r="I30" s="114">
        <v>12029</v>
      </c>
      <c r="J30" s="114">
        <v>19594.42</v>
      </c>
      <c r="K30" s="114">
        <v>16482.68</v>
      </c>
      <c r="L30" s="114">
        <v>10964.66</v>
      </c>
      <c r="M30" s="114">
        <v>14470.34</v>
      </c>
      <c r="N30" s="114">
        <v>14621.67</v>
      </c>
      <c r="O30" s="114">
        <v>15446.27</v>
      </c>
      <c r="P30" s="114">
        <v>12685.27</v>
      </c>
      <c r="Q30" s="114">
        <v>21009.25</v>
      </c>
      <c r="R30" s="114">
        <v>18296.4</v>
      </c>
      <c r="S30" s="114">
        <v>15484.63</v>
      </c>
      <c r="T30" s="114">
        <v>18143.79</v>
      </c>
      <c r="U30" s="114">
        <v>17118.86</v>
      </c>
      <c r="V30" s="114">
        <v>14662.3</v>
      </c>
      <c r="W30" s="114">
        <v>12863.62</v>
      </c>
      <c r="X30" s="114">
        <v>23337.7</v>
      </c>
      <c r="Y30" s="114">
        <v>18337.14</v>
      </c>
      <c r="Z30" s="114">
        <v>16339.08</v>
      </c>
      <c r="AA30" s="114">
        <v>18105.59</v>
      </c>
      <c r="AB30" s="114">
        <v>11429.34</v>
      </c>
      <c r="AC30" s="114">
        <v>10686.57</v>
      </c>
      <c r="AD30" s="114">
        <v>20504.57</v>
      </c>
      <c r="AE30" s="114">
        <v>18097.73</v>
      </c>
      <c r="AF30" s="114">
        <v>19373.4</v>
      </c>
      <c r="AG30" s="114"/>
      <c r="AH30" s="377">
        <f>SUM(C30:AG30)</f>
      </c>
      <c r="AI30" s="118"/>
      <c r="AJ30" s="378"/>
      <c r="AK30" s="195"/>
      <c r="AL30" s="101"/>
      <c r="AM30" s="5"/>
      <c r="AN30" s="334"/>
    </row>
    <row x14ac:dyDescent="0.25" r="31" customHeight="1" ht="19.5">
      <c r="A31" s="379"/>
      <c r="B31" s="380" t="s">
        <v>190</v>
      </c>
      <c r="C31" s="238">
        <f>C29-C30</f>
      </c>
      <c r="D31" s="238">
        <f>D29-D30</f>
      </c>
      <c r="E31" s="238">
        <f>E29-E30</f>
      </c>
      <c r="F31" s="238">
        <f>F29-F30</f>
      </c>
      <c r="G31" s="238">
        <f>G29-G30</f>
      </c>
      <c r="H31" s="238">
        <f>H29-H30</f>
      </c>
      <c r="I31" s="238">
        <f>I29-I30</f>
      </c>
      <c r="J31" s="238">
        <f>J29-J30</f>
      </c>
      <c r="K31" s="238">
        <f>K29-K30</f>
      </c>
      <c r="L31" s="238">
        <f>L29-L30</f>
      </c>
      <c r="M31" s="238">
        <f>M29-M30</f>
      </c>
      <c r="N31" s="238">
        <f>N29-N30</f>
      </c>
      <c r="O31" s="238">
        <f>O29-O30</f>
      </c>
      <c r="P31" s="238">
        <f>P29-P30</f>
      </c>
      <c r="Q31" s="238">
        <f>Q29-Q30</f>
      </c>
      <c r="R31" s="238">
        <f>R29-R30</f>
      </c>
      <c r="S31" s="238">
        <f>S29-S30</f>
      </c>
      <c r="T31" s="238">
        <f>T29-T30</f>
      </c>
      <c r="U31" s="238">
        <f>U29-U30</f>
      </c>
      <c r="V31" s="238">
        <f>V29-V30</f>
      </c>
      <c r="W31" s="238">
        <f>W29-W30</f>
      </c>
      <c r="X31" s="238">
        <f>X29-X30</f>
      </c>
      <c r="Y31" s="238">
        <f>Y29-Y30</f>
      </c>
      <c r="Z31" s="238">
        <f>Z29-Z30</f>
      </c>
      <c r="AA31" s="238">
        <f>AA29-AA30</f>
      </c>
      <c r="AB31" s="238">
        <f>AB29-AB30</f>
      </c>
      <c r="AC31" s="238">
        <f>AC29-AC30</f>
      </c>
      <c r="AD31" s="238">
        <f>AD29-AD30</f>
      </c>
      <c r="AE31" s="238">
        <f>AE29-AE30</f>
      </c>
      <c r="AF31" s="238">
        <f>AF29-AF30</f>
      </c>
      <c r="AG31" s="238">
        <f>AG29-AG30</f>
      </c>
      <c r="AH31" s="381">
        <f>AH29-AH30</f>
      </c>
      <c r="AI31" s="118"/>
      <c r="AJ31" s="382" t="s">
        <v>147</v>
      </c>
      <c r="AK31" s="383"/>
      <c r="AL31" s="384"/>
      <c r="AM31" s="385"/>
      <c r="AN31" s="334"/>
    </row>
    <row x14ac:dyDescent="0.25" r="32" customHeight="1" ht="21">
      <c r="A32" s="121"/>
      <c r="B32" s="122"/>
      <c r="C32" s="123"/>
      <c r="D32" s="386"/>
      <c r="E32" s="386"/>
      <c r="F32" s="386"/>
      <c r="G32" s="386"/>
      <c r="H32" s="387"/>
      <c r="I32" s="386"/>
      <c r="J32" s="386"/>
      <c r="K32" s="386"/>
      <c r="L32" s="386"/>
      <c r="M32" s="386"/>
      <c r="N32" s="386"/>
      <c r="O32" s="386"/>
      <c r="P32" s="386"/>
      <c r="Q32" s="386"/>
      <c r="R32" s="123"/>
      <c r="S32" s="386"/>
      <c r="T32" s="386"/>
      <c r="U32" s="386"/>
      <c r="V32" s="386"/>
      <c r="W32" s="386"/>
      <c r="X32" s="386"/>
      <c r="Y32" s="123"/>
      <c r="Z32" s="386"/>
      <c r="AA32" s="386"/>
      <c r="AB32" s="386"/>
      <c r="AC32" s="386"/>
      <c r="AD32" s="386"/>
      <c r="AE32" s="124"/>
      <c r="AF32" s="124"/>
      <c r="AG32" s="124"/>
      <c r="AH32" s="388"/>
      <c r="AI32" s="6"/>
      <c r="AJ32" s="389" t="s">
        <v>130</v>
      </c>
      <c r="AK32" s="128" t="s">
        <v>117</v>
      </c>
      <c r="AL32" s="129" t="s">
        <v>132</v>
      </c>
      <c r="AM32" s="130" t="s">
        <v>133</v>
      </c>
      <c r="AN32" s="334"/>
    </row>
    <row x14ac:dyDescent="0.25" r="33" customHeight="1" ht="20.25">
      <c r="A33" s="8" t="s">
        <v>10</v>
      </c>
      <c r="B33" s="9" t="s">
        <v>134</v>
      </c>
      <c r="C33" s="131">
        <v>2456.25</v>
      </c>
      <c r="D33" s="131">
        <v>2855.55</v>
      </c>
      <c r="E33" s="131">
        <v>1093.74</v>
      </c>
      <c r="F33" s="131">
        <v>1941.29</v>
      </c>
      <c r="G33" s="131">
        <v>1355.43</v>
      </c>
      <c r="H33" s="131">
        <v>1501.5</v>
      </c>
      <c r="I33" s="131">
        <v>1660.49</v>
      </c>
      <c r="J33" s="131">
        <v>2024.67</v>
      </c>
      <c r="K33" s="131">
        <v>3342.37</v>
      </c>
      <c r="L33" s="131">
        <v>1274.99</v>
      </c>
      <c r="M33" s="131">
        <v>1984.7</v>
      </c>
      <c r="N33" s="131">
        <v>1791.26</v>
      </c>
      <c r="O33" s="131">
        <v>2741.15</v>
      </c>
      <c r="P33" s="131">
        <v>1305.17</v>
      </c>
      <c r="Q33" s="131">
        <v>2752.45</v>
      </c>
      <c r="R33" s="131">
        <v>2753.15</v>
      </c>
      <c r="S33" s="131">
        <v>1781.45</v>
      </c>
      <c r="T33" s="131">
        <v>2346.6</v>
      </c>
      <c r="U33" s="131">
        <v>2232.7</v>
      </c>
      <c r="V33" s="131">
        <v>1440.75</v>
      </c>
      <c r="W33" s="131">
        <v>1289</v>
      </c>
      <c r="X33" s="131">
        <v>2469.99</v>
      </c>
      <c r="Y33" s="131">
        <v>2724.72</v>
      </c>
      <c r="Z33" s="131">
        <v>2752.16</v>
      </c>
      <c r="AA33" s="131">
        <v>2952.25</v>
      </c>
      <c r="AB33" s="131">
        <v>1856.25</v>
      </c>
      <c r="AC33" s="131">
        <v>1000.25</v>
      </c>
      <c r="AD33" s="132">
        <v>2593.72</v>
      </c>
      <c r="AE33" s="132">
        <v>1976.23</v>
      </c>
      <c r="AF33" s="132">
        <v>2802.5</v>
      </c>
      <c r="AG33" s="132"/>
      <c r="AH33" s="133">
        <f>SUM(C33:AG33)</f>
      </c>
      <c r="AI33" s="6"/>
      <c r="AJ33" s="390" t="s">
        <v>10</v>
      </c>
      <c r="AK33" s="57" t="s">
        <v>191</v>
      </c>
      <c r="AL33" s="134">
        <f>SUM(C33:AC33)</f>
      </c>
      <c r="AM33" s="135">
        <f>SUM(AD33:AG33)</f>
      </c>
      <c r="AN33" s="334"/>
    </row>
    <row x14ac:dyDescent="0.25" r="34" customHeight="1" ht="20.25">
      <c r="A34" s="11" t="s">
        <v>10</v>
      </c>
      <c r="B34" s="12" t="s">
        <v>136</v>
      </c>
      <c r="C34" s="136">
        <v>13130.62</v>
      </c>
      <c r="D34" s="136">
        <v>13961.3</v>
      </c>
      <c r="E34" s="136">
        <v>8662.05</v>
      </c>
      <c r="F34" s="136">
        <v>10176.8</v>
      </c>
      <c r="G34" s="136">
        <v>10624.87</v>
      </c>
      <c r="H34" s="136">
        <v>11740.74</v>
      </c>
      <c r="I34" s="136">
        <v>10374.01</v>
      </c>
      <c r="J34" s="136">
        <v>17569.75</v>
      </c>
      <c r="K34" s="136">
        <v>13094.41</v>
      </c>
      <c r="L34" s="136">
        <v>9699.67</v>
      </c>
      <c r="M34" s="136">
        <v>12479.34</v>
      </c>
      <c r="N34" s="136">
        <v>12831.42</v>
      </c>
      <c r="O34" s="136">
        <v>12701.12</v>
      </c>
      <c r="P34" s="136">
        <v>11384.5</v>
      </c>
      <c r="Q34" s="136">
        <v>18262.35</v>
      </c>
      <c r="R34" s="136">
        <v>15515.26</v>
      </c>
      <c r="S34" s="136">
        <v>13671.24</v>
      </c>
      <c r="T34" s="136">
        <v>15802.3</v>
      </c>
      <c r="U34" s="136">
        <v>14854.46</v>
      </c>
      <c r="V34" s="136">
        <v>13207.55</v>
      </c>
      <c r="W34" s="136">
        <v>11574.87</v>
      </c>
      <c r="X34" s="136">
        <v>20871.2</v>
      </c>
      <c r="Y34" s="136">
        <v>15640.27</v>
      </c>
      <c r="Z34" s="137">
        <v>13496.78</v>
      </c>
      <c r="AA34" s="137">
        <v>15159.24</v>
      </c>
      <c r="AB34" s="137">
        <v>9575.19</v>
      </c>
      <c r="AC34" s="137">
        <v>9689.32</v>
      </c>
      <c r="AD34" s="137">
        <v>17906.65</v>
      </c>
      <c r="AE34" s="137">
        <v>16019.35</v>
      </c>
      <c r="AF34" s="137">
        <v>16615.65</v>
      </c>
      <c r="AG34" s="137"/>
      <c r="AH34" s="138">
        <f>SUM(C34:AG34)</f>
      </c>
      <c r="AI34" s="6"/>
      <c r="AJ34" s="391" t="s">
        <v>10</v>
      </c>
      <c r="AK34" s="12" t="s">
        <v>192</v>
      </c>
      <c r="AL34" s="139">
        <f>SUM(C34:Y34)-AL45</f>
      </c>
      <c r="AM34" s="65">
        <f>SUM(Z34:AG34)-AM45</f>
      </c>
      <c r="AN34" s="334"/>
    </row>
    <row x14ac:dyDescent="0.25" r="35" customHeight="1" ht="20.25">
      <c r="A35" s="74" t="s">
        <v>10</v>
      </c>
      <c r="B35" s="75" t="s">
        <v>193</v>
      </c>
      <c r="C35" s="392"/>
      <c r="D35" s="392"/>
      <c r="E35" s="392"/>
      <c r="F35" s="393"/>
      <c r="G35" s="392"/>
      <c r="H35" s="392"/>
      <c r="I35" s="392"/>
      <c r="J35" s="392"/>
      <c r="K35" s="392"/>
      <c r="L35" s="392"/>
      <c r="M35" s="392"/>
      <c r="N35" s="392"/>
      <c r="O35" s="392"/>
      <c r="P35" s="392"/>
      <c r="Q35" s="392"/>
      <c r="R35" s="392"/>
      <c r="S35" s="392"/>
      <c r="T35" s="392"/>
      <c r="U35" s="392"/>
      <c r="V35" s="392"/>
      <c r="W35" s="392"/>
      <c r="X35" s="392"/>
      <c r="Y35" s="394"/>
      <c r="Z35" s="394"/>
      <c r="AA35" s="392"/>
      <c r="AB35" s="392"/>
      <c r="AC35" s="392"/>
      <c r="AD35" s="392"/>
      <c r="AE35" s="392"/>
      <c r="AF35" s="231"/>
      <c r="AG35" s="231"/>
      <c r="AH35" s="138">
        <f>SUM(C35:AG35)</f>
      </c>
      <c r="AI35" s="6"/>
      <c r="AJ35" s="391" t="s">
        <v>10</v>
      </c>
      <c r="AK35" s="12" t="s">
        <v>194</v>
      </c>
      <c r="AL35" s="139">
        <f>SUM(C35:AE36)</f>
      </c>
      <c r="AM35" s="65">
        <f>SUM(AF35:AG36)</f>
      </c>
      <c r="AN35" s="334"/>
    </row>
    <row x14ac:dyDescent="0.25" r="36" customHeight="1" ht="20.25">
      <c r="A36" s="74" t="s">
        <v>10</v>
      </c>
      <c r="B36" s="75" t="s">
        <v>195</v>
      </c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92"/>
      <c r="AB36" s="392"/>
      <c r="AC36" s="392"/>
      <c r="AD36" s="392"/>
      <c r="AE36" s="392"/>
      <c r="AF36" s="392"/>
      <c r="AG36" s="392"/>
      <c r="AH36" s="138">
        <f>SUM(C36:AG36)</f>
      </c>
      <c r="AI36" s="6"/>
      <c r="AJ36" s="391" t="s">
        <v>10</v>
      </c>
      <c r="AK36" s="12" t="s">
        <v>196</v>
      </c>
      <c r="AL36" s="139"/>
      <c r="AM36" s="395"/>
      <c r="AN36" s="334"/>
    </row>
    <row x14ac:dyDescent="0.25" r="37" customHeight="1" ht="20.25">
      <c r="A37" s="74" t="s">
        <v>111</v>
      </c>
      <c r="B37" s="75" t="s">
        <v>197</v>
      </c>
      <c r="C37" s="392"/>
      <c r="D37" s="392"/>
      <c r="E37" s="392"/>
      <c r="F37" s="392"/>
      <c r="G37" s="392"/>
      <c r="H37" s="392"/>
      <c r="I37" s="392"/>
      <c r="J37" s="392"/>
      <c r="K37" s="392"/>
      <c r="L37" s="392"/>
      <c r="M37" s="392"/>
      <c r="N37" s="392"/>
      <c r="O37" s="392"/>
      <c r="P37" s="392"/>
      <c r="Q37" s="392"/>
      <c r="R37" s="392"/>
      <c r="S37" s="392"/>
      <c r="T37" s="392"/>
      <c r="U37" s="392"/>
      <c r="V37" s="392"/>
      <c r="W37" s="392"/>
      <c r="X37" s="392"/>
      <c r="Y37" s="392"/>
      <c r="Z37" s="392"/>
      <c r="AA37" s="392"/>
      <c r="AB37" s="392"/>
      <c r="AC37" s="392"/>
      <c r="AD37" s="392"/>
      <c r="AE37" s="392"/>
      <c r="AF37" s="392"/>
      <c r="AG37" s="392"/>
      <c r="AH37" s="138">
        <f>SUM(C37:AG37)</f>
      </c>
      <c r="AI37" s="6"/>
      <c r="AJ37" s="391" t="s">
        <v>111</v>
      </c>
      <c r="AK37" s="12" t="s">
        <v>112</v>
      </c>
      <c r="AL37" s="139">
        <f>AH37</f>
      </c>
      <c r="AM37" s="395"/>
      <c r="AN37" s="396" t="s">
        <v>198</v>
      </c>
    </row>
    <row x14ac:dyDescent="0.25" r="38" customHeight="1" ht="21">
      <c r="A38" s="53" t="s">
        <v>95</v>
      </c>
      <c r="B38" s="54" t="s">
        <v>113</v>
      </c>
      <c r="C38" s="397"/>
      <c r="D38" s="397"/>
      <c r="E38" s="397"/>
      <c r="F38" s="397"/>
      <c r="G38" s="397"/>
      <c r="H38" s="397"/>
      <c r="I38" s="397"/>
      <c r="J38" s="397"/>
      <c r="K38" s="397">
        <v>52</v>
      </c>
      <c r="L38" s="397"/>
      <c r="M38" s="397"/>
      <c r="N38" s="397"/>
      <c r="O38" s="397"/>
      <c r="P38" s="397"/>
      <c r="Q38" s="397"/>
      <c r="R38" s="397"/>
      <c r="S38" s="397"/>
      <c r="T38" s="397"/>
      <c r="U38" s="397">
        <v>32</v>
      </c>
      <c r="V38" s="397"/>
      <c r="W38" s="397"/>
      <c r="X38" s="397"/>
      <c r="Y38" s="397"/>
      <c r="Z38" s="397">
        <v>44</v>
      </c>
      <c r="AA38" s="397"/>
      <c r="AB38" s="397"/>
      <c r="AC38" s="397"/>
      <c r="AD38" s="397"/>
      <c r="AE38" s="397"/>
      <c r="AF38" s="397"/>
      <c r="AG38" s="397"/>
      <c r="AH38" s="258">
        <f>SUM(C38:AG38)</f>
      </c>
      <c r="AI38" s="6"/>
      <c r="AJ38" s="391" t="s">
        <v>95</v>
      </c>
      <c r="AK38" s="12" t="s">
        <v>199</v>
      </c>
      <c r="AL38" s="139">
        <f>AH38</f>
      </c>
      <c r="AM38" s="395"/>
      <c r="AN38" s="334"/>
    </row>
    <row x14ac:dyDescent="0.25" r="39" customHeight="1" ht="20.25">
      <c r="A39" s="140"/>
      <c r="B39" s="141" t="s">
        <v>17</v>
      </c>
      <c r="C39" s="116">
        <f>SUM(C33:C38)</f>
      </c>
      <c r="D39" s="116">
        <f>SUM(D33:D38)</f>
      </c>
      <c r="E39" s="116">
        <f>SUM(E33:E38)</f>
      </c>
      <c r="F39" s="116">
        <f>SUM(F33:F38)</f>
      </c>
      <c r="G39" s="116">
        <f>SUM(G33:G38)</f>
      </c>
      <c r="H39" s="116">
        <f>SUM(H33:H38)</f>
      </c>
      <c r="I39" s="116">
        <f>SUM(I33:I38)</f>
      </c>
      <c r="J39" s="116">
        <f>SUM(J33:J38)</f>
      </c>
      <c r="K39" s="116">
        <f>SUM(K33:K38)</f>
      </c>
      <c r="L39" s="116">
        <f>SUM(L33:L38)</f>
      </c>
      <c r="M39" s="116">
        <f>SUM(M33:M38)</f>
      </c>
      <c r="N39" s="116">
        <f>SUM(N33:N38)</f>
      </c>
      <c r="O39" s="116">
        <f>SUM(O33:O38)</f>
      </c>
      <c r="P39" s="116">
        <f>SUM(P33:P38)</f>
      </c>
      <c r="Q39" s="116">
        <f>SUM(Q33:Q38)</f>
      </c>
      <c r="R39" s="116">
        <f>SUM(R33:R38)</f>
      </c>
      <c r="S39" s="116">
        <f>SUM(S33:S38)</f>
      </c>
      <c r="T39" s="116">
        <f>SUM(T33:T38)</f>
      </c>
      <c r="U39" s="116">
        <f>SUM(U33:U38)</f>
      </c>
      <c r="V39" s="116">
        <f>SUM(V33:V38)</f>
      </c>
      <c r="W39" s="116">
        <f>SUM(W33:W38)</f>
      </c>
      <c r="X39" s="116">
        <f>SUM(X33:X38)</f>
      </c>
      <c r="Y39" s="116">
        <f>SUM(Y33:Y38)</f>
      </c>
      <c r="Z39" s="116">
        <f>SUM(Z33:Z38)</f>
      </c>
      <c r="AA39" s="116">
        <f>SUM(AA33:AA38)</f>
      </c>
      <c r="AB39" s="116">
        <f>SUM(AB33:AB38)</f>
      </c>
      <c r="AC39" s="116">
        <f>SUM(AC33:AC38)</f>
      </c>
      <c r="AD39" s="116">
        <f>SUM(AD33:AD38)</f>
      </c>
      <c r="AE39" s="116">
        <f>SUM(AE33:AE38)</f>
      </c>
      <c r="AF39" s="116">
        <f>SUM(AF33:AF38)</f>
      </c>
      <c r="AG39" s="116">
        <f>SUM(AG33:AG38)</f>
      </c>
      <c r="AH39" s="133">
        <f>SUM(C39:AG39)</f>
      </c>
      <c r="AI39" s="6"/>
      <c r="AJ39" s="398" t="s">
        <v>44</v>
      </c>
      <c r="AK39" s="143"/>
      <c r="AL39" s="144">
        <f>SUM(AL33:AM38)</f>
      </c>
      <c r="AM39" s="145"/>
      <c r="AN39" s="146">
        <f>AL39-AH39+AL45+AM45+AL43</f>
      </c>
    </row>
    <row x14ac:dyDescent="0.25" r="40" customHeight="1" ht="20.25">
      <c r="A40" s="399"/>
      <c r="B40" s="400" t="s">
        <v>189</v>
      </c>
      <c r="C40" s="114">
        <f>C30</f>
      </c>
      <c r="D40" s="114">
        <f>D30</f>
      </c>
      <c r="E40" s="114">
        <f>E30</f>
      </c>
      <c r="F40" s="114">
        <f>F30</f>
      </c>
      <c r="G40" s="114">
        <f>G30</f>
      </c>
      <c r="H40" s="114">
        <f>H30</f>
      </c>
      <c r="I40" s="114">
        <f>I30</f>
      </c>
      <c r="J40" s="114">
        <f>J30</f>
      </c>
      <c r="K40" s="114">
        <f>K30</f>
      </c>
      <c r="L40" s="114">
        <f>L30</f>
      </c>
      <c r="M40" s="114">
        <f>M30</f>
      </c>
      <c r="N40" s="114">
        <f>N30</f>
      </c>
      <c r="O40" s="114">
        <f>O30</f>
      </c>
      <c r="P40" s="114">
        <f>P30</f>
      </c>
      <c r="Q40" s="114">
        <f>Q30</f>
      </c>
      <c r="R40" s="114">
        <f>R30</f>
      </c>
      <c r="S40" s="114">
        <f>S30</f>
      </c>
      <c r="T40" s="114">
        <f>T30</f>
      </c>
      <c r="U40" s="114">
        <f>U30</f>
      </c>
      <c r="V40" s="114">
        <f>V30</f>
      </c>
      <c r="W40" s="114">
        <f>W30</f>
      </c>
      <c r="X40" s="114">
        <f>X30</f>
      </c>
      <c r="Y40" s="114">
        <f>Y30</f>
      </c>
      <c r="Z40" s="114">
        <f>Z30</f>
      </c>
      <c r="AA40" s="114">
        <f>AA30</f>
      </c>
      <c r="AB40" s="114">
        <f>AB30</f>
      </c>
      <c r="AC40" s="114">
        <f>AC30</f>
      </c>
      <c r="AD40" s="114">
        <f>AD30</f>
      </c>
      <c r="AE40" s="114">
        <f>AE30</f>
      </c>
      <c r="AF40" s="114">
        <f>AF30</f>
      </c>
      <c r="AG40" s="114">
        <f>AG30</f>
      </c>
      <c r="AH40" s="138">
        <f>SUM(C40:AG40)</f>
      </c>
      <c r="AI40" s="6"/>
      <c r="AJ40" s="359"/>
      <c r="AK40" s="6"/>
      <c r="AL40" s="101"/>
      <c r="AM40" s="5"/>
      <c r="AN40" s="334"/>
    </row>
    <row x14ac:dyDescent="0.25" r="41" customHeight="1" ht="21">
      <c r="A41" s="242"/>
      <c r="B41" s="380" t="s">
        <v>190</v>
      </c>
      <c r="C41" s="238">
        <f>C39-C40</f>
      </c>
      <c r="D41" s="238">
        <f>D39-D40</f>
      </c>
      <c r="E41" s="238">
        <f>E39-E40</f>
      </c>
      <c r="F41" s="238">
        <f>F39-F40</f>
      </c>
      <c r="G41" s="238">
        <f>G39-G40</f>
      </c>
      <c r="H41" s="238">
        <f>H39-H40</f>
      </c>
      <c r="I41" s="238">
        <f>I39-I40</f>
      </c>
      <c r="J41" s="238">
        <f>J39-J40</f>
      </c>
      <c r="K41" s="238">
        <f>K39-K40</f>
      </c>
      <c r="L41" s="238">
        <f>L39-L40</f>
      </c>
      <c r="M41" s="238">
        <f>M39-M40</f>
      </c>
      <c r="N41" s="238">
        <f>N39-N40</f>
      </c>
      <c r="O41" s="238">
        <f>O39-O40</f>
      </c>
      <c r="P41" s="238">
        <f>P39-P40</f>
      </c>
      <c r="Q41" s="238">
        <f>Q39-Q40</f>
      </c>
      <c r="R41" s="238">
        <f>R39-R40</f>
      </c>
      <c r="S41" s="238">
        <f>S39-S40</f>
      </c>
      <c r="T41" s="238">
        <f>T39-T40</f>
      </c>
      <c r="U41" s="238">
        <f>U39-U40</f>
      </c>
      <c r="V41" s="238">
        <f>V39-V40</f>
      </c>
      <c r="W41" s="238">
        <f>W39-W40</f>
      </c>
      <c r="X41" s="238">
        <f>X39-X40</f>
      </c>
      <c r="Y41" s="238">
        <f>Y39-Y40</f>
      </c>
      <c r="Z41" s="238">
        <f>Z39-Z40</f>
      </c>
      <c r="AA41" s="238">
        <f>AA39-AA40</f>
      </c>
      <c r="AB41" s="238">
        <f>AB39-AB40</f>
      </c>
      <c r="AC41" s="238">
        <f>AC39-AC40</f>
      </c>
      <c r="AD41" s="238">
        <f>AD39-AD40</f>
      </c>
      <c r="AE41" s="238">
        <f>AE39-AE40</f>
      </c>
      <c r="AF41" s="238">
        <f>AF39-AF40</f>
      </c>
      <c r="AG41" s="238">
        <f>AG39-AG40</f>
      </c>
      <c r="AH41" s="258">
        <f>SUM(C41:AG41)</f>
      </c>
      <c r="AI41" s="6"/>
      <c r="AJ41" s="162">
        <f>AH39-AH40</f>
      </c>
      <c r="AK41" s="118"/>
      <c r="AL41" s="101"/>
      <c r="AM41" s="5"/>
      <c r="AN41" s="334"/>
    </row>
    <row x14ac:dyDescent="0.25" r="42" customHeight="1" ht="21">
      <c r="A42" s="147"/>
      <c r="B42" s="148"/>
      <c r="C42" s="1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249"/>
      <c r="AA42" s="249"/>
      <c r="AB42" s="249"/>
      <c r="AC42" s="249"/>
      <c r="AD42" s="249"/>
      <c r="AE42" s="150"/>
      <c r="AF42" s="150"/>
      <c r="AG42" s="150"/>
      <c r="AH42" s="401"/>
      <c r="AI42" s="6"/>
      <c r="AJ42" s="402"/>
      <c r="AK42" s="118"/>
      <c r="AL42" s="101"/>
      <c r="AM42" s="152"/>
      <c r="AN42" s="21"/>
    </row>
    <row x14ac:dyDescent="0.25" r="43" customHeight="1" ht="21">
      <c r="A43" s="403"/>
      <c r="B43" s="153" t="s">
        <v>200</v>
      </c>
      <c r="C43" s="154">
        <f>SUM(C3:C28)-SUM(C33:C38)</f>
      </c>
      <c r="D43" s="154">
        <f>SUM(D3:D28)-SUM(D33:D38)</f>
      </c>
      <c r="E43" s="154">
        <f>SUM(E3:E28)-SUM(E33:E38)</f>
      </c>
      <c r="F43" s="154">
        <f>SUM(F3:F28)-SUM(F33:F38)</f>
      </c>
      <c r="G43" s="154">
        <f>SUM(G3:G28)-SUM(G33:G38)</f>
      </c>
      <c r="H43" s="154">
        <f>SUM(H3:H28)-SUM(H33:H38)</f>
      </c>
      <c r="I43" s="154">
        <f>SUM(I3:I28)-SUM(I33:I38)</f>
      </c>
      <c r="J43" s="154">
        <f>SUM(J3:J28)-SUM(J33:J38)</f>
      </c>
      <c r="K43" s="154">
        <f>SUM(K3:K28)-SUM(K33:K38)</f>
      </c>
      <c r="L43" s="154">
        <f>SUM(L3:L28)-SUM(L33:L38)</f>
      </c>
      <c r="M43" s="154">
        <f>SUM(M3:M28)-SUM(M33:M38)</f>
      </c>
      <c r="N43" s="154">
        <f>SUM(N3:N28)-SUM(N33:N38)</f>
      </c>
      <c r="O43" s="154">
        <f>SUM(O3:O28)-SUM(O33:O38)</f>
      </c>
      <c r="P43" s="154">
        <f>SUM(P3:P28)-SUM(P33:P38)</f>
      </c>
      <c r="Q43" s="154">
        <f>SUM(Q3:Q28)-SUM(Q33:Q38)</f>
      </c>
      <c r="R43" s="154">
        <f>SUM(R3:R28)-SUM(R33:R38)</f>
      </c>
      <c r="S43" s="154">
        <f>SUM(S3:S28)-SUM(S33:S38)</f>
      </c>
      <c r="T43" s="154">
        <f>SUM(T3:T28)-SUM(T33:T38)</f>
      </c>
      <c r="U43" s="154">
        <f>SUM(U3:U28)-SUM(U33:U38)</f>
      </c>
      <c r="V43" s="154">
        <f>SUM(V3:V28)-SUM(V33:V38)</f>
      </c>
      <c r="W43" s="154">
        <f>SUM(W3:W28)-SUM(W33:W38)</f>
      </c>
      <c r="X43" s="154">
        <f>SUM(X3:X28)-SUM(X33:X38)</f>
      </c>
      <c r="Y43" s="154">
        <f>SUM(Y3:Y28)-SUM(Y33:Y38)</f>
      </c>
      <c r="Z43" s="154">
        <f>SUM(Z3:Z28)-SUM(Z33:Z38)</f>
      </c>
      <c r="AA43" s="154">
        <f>SUM(AA3:AA28)-SUM(AA33:AA38)</f>
      </c>
      <c r="AB43" s="154">
        <f>SUM(AB3:AB28)-SUM(AB33:AB38)</f>
      </c>
      <c r="AC43" s="154">
        <f>SUM(AC3:AC28)-SUM(AC33:AC38)</f>
      </c>
      <c r="AD43" s="154">
        <f>SUM(AD3:AD28)-SUM(AD33:AD38)</f>
      </c>
      <c r="AE43" s="154">
        <f>SUM(AE3:AE28)-SUM(AE33:AE38)</f>
      </c>
      <c r="AF43" s="154">
        <f>SUM(AF3:AF28)-SUM(AF33:AF38)</f>
      </c>
      <c r="AG43" s="154">
        <f>SUM(AG3:AG28)-SUM(AG33:AG38)</f>
      </c>
      <c r="AH43" s="155">
        <f>SUM(C43:AG43)</f>
      </c>
      <c r="AI43" s="71"/>
      <c r="AJ43" s="404" t="s">
        <v>109</v>
      </c>
      <c r="AK43" s="156" t="s">
        <v>110</v>
      </c>
      <c r="AL43" s="157">
        <f>AH43</f>
      </c>
      <c r="AM43" s="158"/>
      <c r="AN43" s="396" t="s">
        <v>139</v>
      </c>
    </row>
    <row x14ac:dyDescent="0.25" r="44" customHeight="1" ht="21">
      <c r="A44" s="160"/>
      <c r="B44" s="148"/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150"/>
      <c r="AF44" s="150"/>
      <c r="AG44" s="150"/>
      <c r="AH44" s="401"/>
      <c r="AI44" s="71"/>
      <c r="AJ44" s="405"/>
      <c r="AK44" s="148"/>
      <c r="AL44" s="101"/>
      <c r="AM44" s="162">
        <f>AL39+AL43+AM43+AL45+AM45</f>
      </c>
      <c r="AN44" s="406">
        <f>AM44-AH29</f>
      </c>
    </row>
    <row x14ac:dyDescent="0.25" r="45" customHeight="1" ht="21">
      <c r="A45" s="83" t="s">
        <v>107</v>
      </c>
      <c r="B45" s="153" t="s">
        <v>140</v>
      </c>
      <c r="C45" s="163">
        <v>413.4</v>
      </c>
      <c r="D45" s="163">
        <v>438.63</v>
      </c>
      <c r="E45" s="163">
        <v>270.11</v>
      </c>
      <c r="F45" s="163">
        <v>321.92</v>
      </c>
      <c r="G45" s="163">
        <v>333.21</v>
      </c>
      <c r="H45" s="163">
        <v>367.29</v>
      </c>
      <c r="I45" s="163">
        <v>329.03</v>
      </c>
      <c r="J45" s="163">
        <v>551.74</v>
      </c>
      <c r="K45" s="163">
        <v>411.3</v>
      </c>
      <c r="L45" s="163">
        <v>302.5</v>
      </c>
      <c r="M45" s="163">
        <v>389.16</v>
      </c>
      <c r="N45" s="163">
        <v>400.9</v>
      </c>
      <c r="O45" s="163">
        <v>397.66</v>
      </c>
      <c r="P45" s="163">
        <v>361.75</v>
      </c>
      <c r="Q45" s="163">
        <v>570.57</v>
      </c>
      <c r="R45" s="163">
        <v>488.14</v>
      </c>
      <c r="S45" s="407">
        <v>428</v>
      </c>
      <c r="T45" s="163">
        <v>500.12</v>
      </c>
      <c r="U45" s="163">
        <v>463.26</v>
      </c>
      <c r="V45" s="163">
        <v>420.43</v>
      </c>
      <c r="W45" s="163">
        <v>361.52</v>
      </c>
      <c r="X45" s="163">
        <v>651.69</v>
      </c>
      <c r="Y45" s="163">
        <v>490.76</v>
      </c>
      <c r="Z45" s="164">
        <v>423.4</v>
      </c>
      <c r="AA45" s="164">
        <v>474.13</v>
      </c>
      <c r="AB45" s="164">
        <v>298.99</v>
      </c>
      <c r="AC45" s="164">
        <v>304.23</v>
      </c>
      <c r="AD45" s="164">
        <v>560.54</v>
      </c>
      <c r="AE45" s="164">
        <v>513.01</v>
      </c>
      <c r="AF45" s="164">
        <v>523.27</v>
      </c>
      <c r="AG45" s="408"/>
      <c r="AH45" s="155">
        <f>SUM(C45:AG45)</f>
      </c>
      <c r="AI45" s="71"/>
      <c r="AJ45" s="404" t="s">
        <v>107</v>
      </c>
      <c r="AK45" s="156" t="s">
        <v>108</v>
      </c>
      <c r="AL45" s="157">
        <f>SUM(C45:Y45)</f>
      </c>
      <c r="AM45" s="158">
        <f>SUM(Z45:AG45)</f>
      </c>
      <c r="AN45" s="166"/>
    </row>
    <row x14ac:dyDescent="0.25" r="46" customHeight="1" ht="21">
      <c r="A46" s="160"/>
      <c r="B46" s="148" t="s">
        <v>141</v>
      </c>
      <c r="C46" s="149">
        <f>C34-C45</f>
      </c>
      <c r="D46" s="149">
        <f>D34-D45</f>
      </c>
      <c r="E46" s="149">
        <f>E34-E45</f>
      </c>
      <c r="F46" s="149">
        <f>F34-F45</f>
      </c>
      <c r="G46" s="149">
        <f>G34-G45</f>
      </c>
      <c r="H46" s="149">
        <f>H34-H45</f>
      </c>
      <c r="I46" s="149">
        <f>I34-I45</f>
      </c>
      <c r="J46" s="149">
        <f>J34-J45</f>
      </c>
      <c r="K46" s="149">
        <f>K34-K45</f>
      </c>
      <c r="L46" s="149">
        <f>L34-L45</f>
      </c>
      <c r="M46" s="149">
        <f>M34-M45</f>
      </c>
      <c r="N46" s="149">
        <f>N34-N45</f>
      </c>
      <c r="O46" s="149">
        <f>O34-O45</f>
      </c>
      <c r="P46" s="149">
        <f>P34-P45</f>
      </c>
      <c r="Q46" s="149">
        <f>Q34-Q45</f>
      </c>
      <c r="R46" s="149">
        <f>R34-R45</f>
      </c>
      <c r="S46" s="149">
        <f>S34-S45</f>
      </c>
      <c r="T46" s="149">
        <f>T34-T45</f>
      </c>
      <c r="U46" s="149">
        <f>U34-U45</f>
      </c>
      <c r="V46" s="149">
        <f>V34-V45</f>
      </c>
      <c r="W46" s="149">
        <f>W34-W45</f>
      </c>
      <c r="X46" s="149">
        <f>X34-X45</f>
      </c>
      <c r="Y46" s="149">
        <f>Y34-Y45</f>
      </c>
      <c r="Z46" s="149">
        <f>Z34-Z45</f>
      </c>
      <c r="AA46" s="149">
        <f>AA34-AA45</f>
      </c>
      <c r="AB46" s="149">
        <f>AB34-AB45</f>
      </c>
      <c r="AC46" s="149">
        <f>AC34-AC45</f>
      </c>
      <c r="AD46" s="149">
        <f>AD34-AD45</f>
      </c>
      <c r="AE46" s="149">
        <f>AE34-AE45</f>
      </c>
      <c r="AF46" s="149">
        <f>AF34-AF45</f>
      </c>
      <c r="AG46" s="149">
        <f>AG34-AG45</f>
      </c>
      <c r="AH46" s="401"/>
      <c r="AI46" s="71"/>
      <c r="AJ46" s="405"/>
      <c r="AK46" s="148"/>
      <c r="AL46" s="101"/>
      <c r="AM46" s="5"/>
      <c r="AN46" s="334"/>
    </row>
    <row x14ac:dyDescent="0.25" r="47" customHeight="1" ht="20.25">
      <c r="A47" s="8"/>
      <c r="B47" s="409" t="s">
        <v>37</v>
      </c>
      <c r="C47" s="410">
        <v>629</v>
      </c>
      <c r="D47" s="410">
        <v>688</v>
      </c>
      <c r="E47" s="410">
        <v>430</v>
      </c>
      <c r="F47" s="410">
        <v>511</v>
      </c>
      <c r="G47" s="410">
        <v>478</v>
      </c>
      <c r="H47" s="410">
        <v>558</v>
      </c>
      <c r="I47" s="410">
        <v>497</v>
      </c>
      <c r="J47" s="410">
        <v>770</v>
      </c>
      <c r="K47" s="410">
        <v>627</v>
      </c>
      <c r="L47" s="410">
        <v>466</v>
      </c>
      <c r="M47" s="410">
        <v>600</v>
      </c>
      <c r="N47" s="410">
        <v>646</v>
      </c>
      <c r="O47" s="410">
        <v>727</v>
      </c>
      <c r="P47" s="410">
        <v>437</v>
      </c>
      <c r="Q47" s="410">
        <v>871</v>
      </c>
      <c r="R47" s="410">
        <v>795</v>
      </c>
      <c r="S47" s="410">
        <v>671</v>
      </c>
      <c r="T47" s="410">
        <v>747</v>
      </c>
      <c r="U47" s="410">
        <v>750</v>
      </c>
      <c r="V47" s="410">
        <v>519</v>
      </c>
      <c r="W47" s="410">
        <v>536</v>
      </c>
      <c r="X47" s="410">
        <v>899</v>
      </c>
      <c r="Y47" s="410">
        <v>710</v>
      </c>
      <c r="Z47" s="410">
        <v>745</v>
      </c>
      <c r="AA47" s="410">
        <v>758</v>
      </c>
      <c r="AB47" s="410">
        <v>519</v>
      </c>
      <c r="AC47" s="410">
        <v>398</v>
      </c>
      <c r="AD47" s="410">
        <v>896</v>
      </c>
      <c r="AE47" s="410">
        <v>662</v>
      </c>
      <c r="AF47" s="410">
        <v>822</v>
      </c>
      <c r="AG47" s="411"/>
      <c r="AH47" s="412">
        <f>SUM(C47:AG47)</f>
      </c>
      <c r="AI47" s="6"/>
      <c r="AJ47" s="413">
        <f>AH47</f>
      </c>
      <c r="AK47" s="209" t="s">
        <v>37</v>
      </c>
      <c r="AL47" s="414"/>
      <c r="AM47" s="415"/>
      <c r="AN47" s="416"/>
    </row>
    <row x14ac:dyDescent="0.25" r="48" customHeight="1" ht="18.75">
      <c r="A48" s="53"/>
      <c r="B48" s="380" t="s">
        <v>114</v>
      </c>
      <c r="C48" s="417">
        <v>105</v>
      </c>
      <c r="D48" s="417">
        <v>151</v>
      </c>
      <c r="E48" s="417">
        <v>70</v>
      </c>
      <c r="F48" s="417">
        <v>71</v>
      </c>
      <c r="G48" s="417">
        <v>91</v>
      </c>
      <c r="H48" s="417">
        <v>121</v>
      </c>
      <c r="I48" s="417">
        <v>84</v>
      </c>
      <c r="J48" s="417">
        <v>106</v>
      </c>
      <c r="K48" s="417">
        <v>138</v>
      </c>
      <c r="L48" s="417">
        <v>87</v>
      </c>
      <c r="M48" s="417">
        <v>98</v>
      </c>
      <c r="N48" s="417">
        <v>96</v>
      </c>
      <c r="O48" s="417">
        <v>94</v>
      </c>
      <c r="P48" s="417">
        <v>39</v>
      </c>
      <c r="Q48" s="417">
        <v>136</v>
      </c>
      <c r="R48" s="417">
        <v>122</v>
      </c>
      <c r="S48" s="417">
        <v>88</v>
      </c>
      <c r="T48" s="417">
        <v>83</v>
      </c>
      <c r="U48" s="417">
        <v>141</v>
      </c>
      <c r="V48" s="417">
        <v>79</v>
      </c>
      <c r="W48" s="417">
        <v>52</v>
      </c>
      <c r="X48" s="417">
        <v>94</v>
      </c>
      <c r="Y48" s="417">
        <v>152</v>
      </c>
      <c r="Z48" s="417">
        <v>137</v>
      </c>
      <c r="AA48" s="417">
        <v>120</v>
      </c>
      <c r="AB48" s="417">
        <v>100</v>
      </c>
      <c r="AC48" s="417">
        <v>63</v>
      </c>
      <c r="AD48" s="417">
        <v>109</v>
      </c>
      <c r="AE48" s="417">
        <v>106</v>
      </c>
      <c r="AF48" s="417">
        <v>124</v>
      </c>
      <c r="AG48" s="418"/>
      <c r="AH48" s="419">
        <f>SUM(C48:AG48)</f>
      </c>
      <c r="AI48" s="6"/>
      <c r="AJ48" s="420">
        <f>AH48</f>
      </c>
      <c r="AK48" s="236" t="s">
        <v>114</v>
      </c>
      <c r="AL48" s="101"/>
      <c r="AM48" s="5"/>
      <c r="AN48" s="334"/>
    </row>
    <row x14ac:dyDescent="0.25" r="49" customHeight="1" ht="18.75">
      <c r="A49" s="160"/>
      <c r="B49" s="421"/>
      <c r="C49" s="249"/>
      <c r="D49" s="249"/>
      <c r="E49" s="249"/>
      <c r="F49" s="249"/>
      <c r="G49" s="249"/>
      <c r="H49" s="249"/>
      <c r="I49" s="249"/>
      <c r="J49" s="249"/>
      <c r="K49" s="249"/>
      <c r="L49" s="249"/>
      <c r="M49" s="249"/>
      <c r="N49" s="249"/>
      <c r="O49" s="249"/>
      <c r="P49" s="249"/>
      <c r="Q49" s="249"/>
      <c r="R49" s="249"/>
      <c r="S49" s="249"/>
      <c r="T49" s="249"/>
      <c r="U49" s="249"/>
      <c r="V49" s="249"/>
      <c r="W49" s="249"/>
      <c r="X49" s="249"/>
      <c r="Y49" s="249"/>
      <c r="Z49" s="249"/>
      <c r="AA49" s="249"/>
      <c r="AB49" s="249"/>
      <c r="AC49" s="249"/>
      <c r="AD49" s="249"/>
      <c r="AE49" s="150"/>
      <c r="AF49" s="150"/>
      <c r="AG49" s="150"/>
      <c r="AH49" s="401"/>
      <c r="AI49" s="6"/>
      <c r="AJ49" s="405"/>
      <c r="AK49" s="421"/>
      <c r="AL49" s="101"/>
      <c r="AM49" s="5"/>
      <c r="AN49" s="334"/>
    </row>
    <row x14ac:dyDescent="0.25" r="50" customHeight="1" ht="18.75">
      <c r="A50" s="83"/>
      <c r="B50" s="156" t="s">
        <v>115</v>
      </c>
      <c r="C50" s="407">
        <f>C47+C48</f>
      </c>
      <c r="D50" s="407">
        <f>D47+D48</f>
      </c>
      <c r="E50" s="407">
        <f>E47+E48</f>
      </c>
      <c r="F50" s="407">
        <f>F47+F48</f>
      </c>
      <c r="G50" s="407">
        <f>G47+G48</f>
      </c>
      <c r="H50" s="407">
        <f>H47+H48</f>
      </c>
      <c r="I50" s="407">
        <f>I47+I48</f>
      </c>
      <c r="J50" s="407">
        <f>J47+J48</f>
      </c>
      <c r="K50" s="407">
        <f>K47+K48</f>
      </c>
      <c r="L50" s="407">
        <f>L47+L48</f>
      </c>
      <c r="M50" s="407">
        <f>M47+M48</f>
      </c>
      <c r="N50" s="407">
        <f>N47+N48</f>
      </c>
      <c r="O50" s="407">
        <f>O47+O48</f>
      </c>
      <c r="P50" s="407">
        <f>P47+P48</f>
      </c>
      <c r="Q50" s="407">
        <f>Q47+Q48</f>
      </c>
      <c r="R50" s="407">
        <f>R47+R48</f>
      </c>
      <c r="S50" s="407">
        <f>S47+S48</f>
      </c>
      <c r="T50" s="407">
        <f>T47+T48</f>
      </c>
      <c r="U50" s="407">
        <f>U47+U48</f>
      </c>
      <c r="V50" s="407">
        <f>V47+V48</f>
      </c>
      <c r="W50" s="407">
        <f>W47+W48</f>
      </c>
      <c r="X50" s="407">
        <f>X47+X48</f>
      </c>
      <c r="Y50" s="407">
        <f>Y47+Y48</f>
      </c>
      <c r="Z50" s="407">
        <f>Z47+Z48</f>
      </c>
      <c r="AA50" s="407">
        <f>AA47+AA48</f>
      </c>
      <c r="AB50" s="407">
        <f>AB47+AB48</f>
      </c>
      <c r="AC50" s="407">
        <f>AC47+AC48</f>
      </c>
      <c r="AD50" s="407">
        <f>AD47+AD48</f>
      </c>
      <c r="AE50" s="407">
        <f>AE47+AE48</f>
      </c>
      <c r="AF50" s="407">
        <f>AF47+AF48</f>
      </c>
      <c r="AG50" s="422">
        <f>AG47+AG48</f>
      </c>
      <c r="AH50" s="423">
        <f>SUM(C50:AG50)</f>
      </c>
      <c r="AI50" s="6"/>
      <c r="AJ50" s="424">
        <f>AH50</f>
      </c>
      <c r="AK50" s="120" t="s">
        <v>115</v>
      </c>
      <c r="AL50" s="101"/>
      <c r="AM50" s="5"/>
      <c r="AN50" s="334"/>
    </row>
    <row x14ac:dyDescent="0.25" r="51" customHeight="1" ht="18.75">
      <c r="A51" s="160"/>
      <c r="B51" s="148"/>
      <c r="C51" s="249"/>
      <c r="D51" s="249"/>
      <c r="E51" s="249"/>
      <c r="F51" s="249"/>
      <c r="G51" s="249"/>
      <c r="H51" s="249"/>
      <c r="I51" s="249"/>
      <c r="J51" s="249"/>
      <c r="K51" s="249"/>
      <c r="L51" s="249"/>
      <c r="M51" s="249"/>
      <c r="N51" s="249"/>
      <c r="O51" s="249"/>
      <c r="P51" s="249"/>
      <c r="Q51" s="249"/>
      <c r="R51" s="249"/>
      <c r="S51" s="249"/>
      <c r="T51" s="249"/>
      <c r="U51" s="249"/>
      <c r="V51" s="249"/>
      <c r="W51" s="249"/>
      <c r="X51" s="249"/>
      <c r="Y51" s="249"/>
      <c r="Z51" s="249"/>
      <c r="AA51" s="249"/>
      <c r="AB51" s="249"/>
      <c r="AC51" s="249"/>
      <c r="AD51" s="249"/>
      <c r="AE51" s="150"/>
      <c r="AF51" s="150"/>
      <c r="AG51" s="150"/>
      <c r="AH51" s="401"/>
      <c r="AI51" s="6"/>
      <c r="AJ51" s="425"/>
      <c r="AK51" s="148"/>
      <c r="AL51" s="101"/>
      <c r="AM51" s="5"/>
      <c r="AN51" s="334"/>
    </row>
    <row x14ac:dyDescent="0.25" r="52" customHeight="1" ht="18.75">
      <c r="A52" s="83"/>
      <c r="B52" s="156" t="s">
        <v>201</v>
      </c>
      <c r="C52" s="163">
        <f>IF(C50&lt;=1,0,IF(C50&gt;=0,(SUM(C4+C5)/C50)))</f>
      </c>
      <c r="D52" s="163">
        <f>IF(D50&lt;=1,0,IF(D50&gt;=0,(SUM(D4+D5)/D50)))</f>
      </c>
      <c r="E52" s="163">
        <f>IF(E50&lt;=1,0,IF(E50&gt;=0,(SUM(E4+E5)/E50)))</f>
      </c>
      <c r="F52" s="163">
        <f>IF(F50&lt;=1,0,IF(F50&gt;=0,(SUM(F4+F5)/F50)))</f>
      </c>
      <c r="G52" s="163">
        <f>IF(G50&lt;=1,0,IF(G50&gt;=0,(SUM(G4+G5)/G50)))</f>
      </c>
      <c r="H52" s="163">
        <f>IF(H50&lt;=1,0,IF(H50&gt;=0,(SUM(H4+H5)/H50)))</f>
      </c>
      <c r="I52" s="163">
        <f>IF(I50&lt;=1,0,IF(I50&gt;=0,(SUM(I4+I5)/I50)))</f>
      </c>
      <c r="J52" s="163">
        <f>IF(J50&lt;=1,0,IF(J50&gt;=0,(SUM(J4+J5)/J50)))</f>
      </c>
      <c r="K52" s="163">
        <f>IF(K50&lt;=1,0,IF(K50&gt;=0,(SUM(K4+K5)/K50)))</f>
      </c>
      <c r="L52" s="163">
        <f>IF(L50&lt;=1,0,IF(L50&gt;=0,(SUM(L4+L5)/L50)))</f>
      </c>
      <c r="M52" s="163">
        <f>IF(M50&lt;=1,0,IF(M50&gt;=0,(SUM(M4+M5)/M50)))</f>
      </c>
      <c r="N52" s="163">
        <f>IF(N50&lt;=1,0,IF(N50&gt;=0,(SUM(N4+N5)/N50)))</f>
      </c>
      <c r="O52" s="163">
        <f>IF(O50&lt;=1,0,IF(O50&gt;=0,(SUM(O4+O5)/O50)))</f>
      </c>
      <c r="P52" s="163">
        <f>IF(P50&lt;=1,0,IF(P50&gt;=0,(SUM(P4+P5)/P50)))</f>
      </c>
      <c r="Q52" s="163">
        <f>IF(Q50&lt;=1,0,IF(Q50&gt;=0,(SUM(Q4+Q5)/Q50)))</f>
      </c>
      <c r="R52" s="163">
        <f>IF(R50&lt;=1,0,IF(R50&gt;=0,(SUM(R4+R5)/R50)))</f>
      </c>
      <c r="S52" s="163">
        <f>IF(S50&lt;=1,0,IF(S50&gt;=0,(SUM(S4+S5)/S50)))</f>
      </c>
      <c r="T52" s="163">
        <f>IF(T50&lt;=1,0,IF(T50&gt;=0,(SUM(T4+T5)/T50)))</f>
      </c>
      <c r="U52" s="163">
        <f>IF(U50&lt;=1,0,IF(U50&gt;=0,(SUM(U4+U5)/U50)))</f>
      </c>
      <c r="V52" s="163">
        <f>IF(V50&lt;=1,0,IF(V50&gt;=0,(SUM(V4+V5)/V50)))</f>
      </c>
      <c r="W52" s="163">
        <f>IF(W50&lt;=1,0,IF(W50&gt;=0,(SUM(W4+W5)/W50)))</f>
      </c>
      <c r="X52" s="163">
        <f>IF(X50&lt;=1,0,IF(X50&gt;=0,(SUM(X4+X5)/X50)))</f>
      </c>
      <c r="Y52" s="163">
        <f>IF(Y50&lt;=1,0,IF(Y50&gt;=0,(SUM(Y4+Y5)/Y50)))</f>
      </c>
      <c r="Z52" s="163">
        <f>IF(Z50&lt;=1,0,IF(Z50&gt;=0,(SUM(Z4+Z5)/Z50)))</f>
      </c>
      <c r="AA52" s="163">
        <f>IF(AA50&lt;=1,0,IF(AA50&gt;=0,(SUM(AA4+AA5)/AA50)))</f>
      </c>
      <c r="AB52" s="163">
        <f>IF(AB50&lt;=1,0,IF(AB50&gt;=0,(SUM(AB4+AB5)/AB50)))</f>
      </c>
      <c r="AC52" s="163">
        <f>IF(AC50&lt;=1,0,IF(AC50&gt;=0,(SUM(AC4+AC5)/AC50)))</f>
      </c>
      <c r="AD52" s="163">
        <f>IF(AD50&lt;=1,0,IF(AD50&gt;=0,(SUM(AD4+AD5)/AD50)))</f>
      </c>
      <c r="AE52" s="163">
        <f>IF(AE50&lt;=1,0,IF(AE50&gt;=0,(SUM(AE4+AE5)/AE50)))</f>
      </c>
      <c r="AF52" s="163">
        <f>IF(AF50&lt;=1,0,IF(AF50&gt;=0,(SUM(AF4+AF5)/AF50)))</f>
      </c>
      <c r="AG52" s="163">
        <f>IF(AG50&lt;=1,0,IF(AG50&gt;=0,(SUM(AG4+AG5)/AG50)))</f>
      </c>
      <c r="AH52" s="155">
        <f>IFERROR(AVERAGEIF(C52:AG52, "&lt;&gt;0"),)</f>
      </c>
      <c r="AI52" s="6"/>
      <c r="AJ52" s="426">
        <f>AH52</f>
      </c>
      <c r="AK52" s="120" t="s">
        <v>202</v>
      </c>
      <c r="AL52" s="101"/>
      <c r="AM52" s="5"/>
      <c r="AN52" s="334"/>
    </row>
    <row x14ac:dyDescent="0.25" r="53" customHeight="1" ht="18.75">
      <c r="A53" s="6"/>
      <c r="B53" s="7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4"/>
      <c r="P53" s="334"/>
      <c r="Q53" s="334"/>
      <c r="R53" s="334"/>
      <c r="S53" s="334"/>
      <c r="T53" s="334"/>
      <c r="U53" s="334"/>
      <c r="V53" s="334"/>
      <c r="W53" s="334"/>
      <c r="X53" s="334"/>
      <c r="Y53" s="334"/>
      <c r="Z53" s="334"/>
      <c r="AA53" s="334"/>
      <c r="AB53" s="334"/>
      <c r="AC53" s="334"/>
      <c r="AD53" s="334"/>
      <c r="AE53" s="5"/>
      <c r="AF53" s="5"/>
      <c r="AG53" s="5"/>
      <c r="AH53" s="359"/>
      <c r="AI53" s="6"/>
      <c r="AJ53" s="359"/>
      <c r="AK53" s="6"/>
      <c r="AL53" s="101"/>
      <c r="AM53" s="5"/>
      <c r="AN53" s="334"/>
    </row>
    <row x14ac:dyDescent="0.25" r="54" customHeight="1" ht="18.75">
      <c r="A54" s="83"/>
      <c r="B54" s="156" t="s">
        <v>203</v>
      </c>
      <c r="C54" s="427">
        <f>IF(C47&lt;=1,0,IF(C47&gt;=0,(SUM(C4+C5)/C47)))</f>
      </c>
      <c r="D54" s="427">
        <f>IF(D47&lt;=1,0,IF(D47&gt;=0,(SUM(D4+D5)/D47)))</f>
      </c>
      <c r="E54" s="427">
        <f>IF(E47&lt;=1,0,IF(E47&gt;=0,(SUM(E4+E5)/E47)))</f>
      </c>
      <c r="F54" s="427">
        <f>IF(F47&lt;=1,0,IF(F47&gt;=0,(SUM(F4+F5)/F47)))</f>
      </c>
      <c r="G54" s="427">
        <f>IF(G47&lt;=1,0,IF(G47&gt;=0,(SUM(G4+G5)/G47)))</f>
      </c>
      <c r="H54" s="427">
        <f>IF(H47&lt;=1,0,IF(H47&gt;=0,(SUM(H4+H5)/H47)))</f>
      </c>
      <c r="I54" s="427">
        <f>IF(I47&lt;=1,0,IF(I47&gt;=0,(SUM(I4+I5)/I47)))</f>
      </c>
      <c r="J54" s="427">
        <f>IF(J47&lt;=1,0,IF(J47&gt;=0,(SUM(J4+J5)/J47)))</f>
      </c>
      <c r="K54" s="427">
        <f>IF(K47&lt;=1,0,IF(K47&gt;=0,(SUM(K4+K5)/K47)))</f>
      </c>
      <c r="L54" s="427">
        <f>IF(L47&lt;=1,0,IF(L47&gt;=0,(SUM(L4+L5)/L47)))</f>
      </c>
      <c r="M54" s="427">
        <f>IF(M47&lt;=1,0,IF(M47&gt;=0,(SUM(M4+M5)/M47)))</f>
      </c>
      <c r="N54" s="427">
        <f>IF(N47&lt;=1,0,IF(N47&gt;=0,(SUM(N4+N5)/N47)))</f>
      </c>
      <c r="O54" s="427">
        <f>IF(O47&lt;=1,0,IF(O47&gt;=0,(SUM(O4+O5)/O47)))</f>
      </c>
      <c r="P54" s="427">
        <f>IF(P47&lt;=1,0,IF(P47&gt;=0,(SUM(P4+P5)/P47)))</f>
      </c>
      <c r="Q54" s="427">
        <f>IF(Q47&lt;=1,0,IF(Q47&gt;=0,(SUM(Q4+Q5)/Q47)))</f>
      </c>
      <c r="R54" s="427">
        <f>IF(R47&lt;=1,0,IF(R47&gt;=0,(SUM(R4+R5)/R47)))</f>
      </c>
      <c r="S54" s="427">
        <f>IF(S47&lt;=1,0,IF(S47&gt;=0,(SUM(S4+S5)/S47)))</f>
      </c>
      <c r="T54" s="427">
        <f>IF(T47&lt;=1,0,IF(T47&gt;=0,(SUM(T4+T5)/T47)))</f>
      </c>
      <c r="U54" s="427">
        <f>IF(U47&lt;=1,0,IF(U47&gt;=0,(SUM(U4+U5)/U47)))</f>
      </c>
      <c r="V54" s="427">
        <f>IF(V47&lt;=1,0,IF(V47&gt;=0,(SUM(V4+V5)/V47)))</f>
      </c>
      <c r="W54" s="427">
        <f>IF(W47&lt;=1,0,IF(W47&gt;=0,(SUM(W4+W5)/W47)))</f>
      </c>
      <c r="X54" s="427">
        <f>IF(X47&lt;=1,0,IF(X47&gt;=0,(SUM(X4+X5)/X47)))</f>
      </c>
      <c r="Y54" s="427">
        <f>IF(Y47&lt;=1,0,IF(Y47&gt;=0,(SUM(Y4+Y5)/Y47)))</f>
      </c>
      <c r="Z54" s="427">
        <f>IF(Z47&lt;=1,0,IF(Z47&gt;=0,(SUM(Z4+Z5)/Z47)))</f>
      </c>
      <c r="AA54" s="427">
        <f>IF(AA47&lt;=1,0,IF(AA47&gt;=0,(SUM(AA4+AA5)/AA47)))</f>
      </c>
      <c r="AB54" s="427">
        <f>IF(AB47&lt;=1,0,IF(AB47&gt;=0,(SUM(AB4+AB5)/AB47)))</f>
      </c>
      <c r="AC54" s="427">
        <f>IF(AC47&lt;=1,0,IF(AC47&gt;=0,(SUM(AC4+AC5)/AC47)))</f>
      </c>
      <c r="AD54" s="427">
        <f>IF(AD47&lt;=1,0,IF(AD47&gt;=0,(SUM(AD4+AD5)/AD47)))</f>
      </c>
      <c r="AE54" s="427">
        <f>IF(AE47&lt;=1,0,IF(AE47&gt;=0,(SUM(AE4+AE5)/AE47)))</f>
      </c>
      <c r="AF54" s="427">
        <f>IF(AF47&lt;=1,0,IF(AF47&gt;=0,(SUM(AF4+AF5)/AF47)))</f>
      </c>
      <c r="AG54" s="427">
        <f>IF(AG47&lt;=1,0,IF(AG47&gt;=0,(SUM(AG4+AG5)/AG47)))</f>
      </c>
      <c r="AH54" s="428">
        <f>IFERROR(AVERAGEIF(C54:AG54, "&lt;&gt;0"),)</f>
      </c>
      <c r="AI54" s="71"/>
      <c r="AJ54" s="426">
        <f>AH54</f>
      </c>
      <c r="AK54" s="120" t="s">
        <v>204</v>
      </c>
      <c r="AL54" s="101"/>
      <c r="AM54" s="5"/>
      <c r="AN54" s="334"/>
    </row>
    <row x14ac:dyDescent="0.25" r="55" customHeight="1" ht="18.75">
      <c r="A55" s="6"/>
      <c r="B55" s="7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34"/>
      <c r="AB55" s="334"/>
      <c r="AC55" s="334"/>
      <c r="AD55" s="334"/>
      <c r="AE55" s="5"/>
      <c r="AF55" s="5"/>
      <c r="AG55" s="5"/>
      <c r="AH55" s="359"/>
      <c r="AI55" s="6"/>
      <c r="AJ55" s="359"/>
      <c r="AK55" s="6"/>
      <c r="AL55" s="101"/>
      <c r="AM55" s="5"/>
      <c r="AN55" s="334"/>
    </row>
    <row x14ac:dyDescent="0.25" r="56" customHeight="1" ht="18.75">
      <c r="A56" s="429"/>
      <c r="B56" s="430" t="s">
        <v>205</v>
      </c>
      <c r="C56" s="431"/>
      <c r="D56" s="431"/>
      <c r="E56" s="431"/>
      <c r="F56" s="431"/>
      <c r="G56" s="431"/>
      <c r="H56" s="431"/>
      <c r="I56" s="431"/>
      <c r="J56" s="431"/>
      <c r="K56" s="431"/>
      <c r="L56" s="431"/>
      <c r="M56" s="431"/>
      <c r="N56" s="431"/>
      <c r="O56" s="431"/>
      <c r="P56" s="431"/>
      <c r="Q56" s="431"/>
      <c r="R56" s="431"/>
      <c r="S56" s="431"/>
      <c r="T56" s="431"/>
      <c r="U56" s="431"/>
      <c r="V56" s="431"/>
      <c r="W56" s="431"/>
      <c r="X56" s="431"/>
      <c r="Y56" s="431"/>
      <c r="Z56" s="431"/>
      <c r="AA56" s="431"/>
      <c r="AB56" s="431"/>
      <c r="AC56" s="431"/>
      <c r="AD56" s="431"/>
      <c r="AE56" s="432"/>
      <c r="AF56" s="432"/>
      <c r="AG56" s="432"/>
      <c r="AH56" s="433" t="s">
        <v>206</v>
      </c>
      <c r="AI56" s="6"/>
      <c r="AJ56" s="434" t="s">
        <v>206</v>
      </c>
      <c r="AK56" s="435" t="s">
        <v>117</v>
      </c>
      <c r="AL56" s="101"/>
      <c r="AM56" s="5"/>
      <c r="AN56" s="334"/>
    </row>
    <row x14ac:dyDescent="0.25" r="57" customHeight="1" ht="18.75">
      <c r="A57" s="11"/>
      <c r="B57" s="436" t="s">
        <v>166</v>
      </c>
      <c r="C57" s="437">
        <v>102</v>
      </c>
      <c r="D57" s="437">
        <v>102</v>
      </c>
      <c r="E57" s="437">
        <v>102</v>
      </c>
      <c r="F57" s="437">
        <v>99</v>
      </c>
      <c r="G57" s="437">
        <v>99</v>
      </c>
      <c r="H57" s="437">
        <v>99</v>
      </c>
      <c r="I57" s="437">
        <v>100</v>
      </c>
      <c r="J57" s="437">
        <v>102</v>
      </c>
      <c r="K57" s="437">
        <v>102</v>
      </c>
      <c r="L57" s="437">
        <v>102</v>
      </c>
      <c r="M57" s="437">
        <v>100</v>
      </c>
      <c r="N57" s="437">
        <v>100</v>
      </c>
      <c r="O57" s="437">
        <v>100</v>
      </c>
      <c r="P57" s="437">
        <v>98</v>
      </c>
      <c r="Q57" s="437">
        <v>100</v>
      </c>
      <c r="R57" s="437">
        <v>102</v>
      </c>
      <c r="S57" s="437">
        <v>98</v>
      </c>
      <c r="T57" s="437">
        <v>100</v>
      </c>
      <c r="U57" s="437">
        <v>102</v>
      </c>
      <c r="V57" s="437">
        <v>98</v>
      </c>
      <c r="W57" s="437">
        <v>99</v>
      </c>
      <c r="X57" s="437">
        <v>100</v>
      </c>
      <c r="Y57" s="437">
        <v>100</v>
      </c>
      <c r="Z57" s="437">
        <v>101</v>
      </c>
      <c r="AA57" s="437">
        <v>101</v>
      </c>
      <c r="AB57" s="437">
        <v>100</v>
      </c>
      <c r="AC57" s="437">
        <v>100</v>
      </c>
      <c r="AD57" s="437">
        <v>101</v>
      </c>
      <c r="AE57" s="438"/>
      <c r="AF57" s="438"/>
      <c r="AG57" s="438"/>
      <c r="AH57" s="138">
        <f>IFERROR(AVERAGEIF(C57:AG57,"&lt;&gt;0"),)</f>
      </c>
      <c r="AI57" s="6"/>
      <c r="AJ57" s="439">
        <f>AH57</f>
      </c>
      <c r="AK57" s="440" t="s">
        <v>119</v>
      </c>
      <c r="AL57" s="101"/>
      <c r="AM57" s="5"/>
      <c r="AN57" s="334"/>
    </row>
    <row x14ac:dyDescent="0.25" r="58" customHeight="1" ht="18.75">
      <c r="A58" s="11"/>
      <c r="B58" s="436" t="s">
        <v>207</v>
      </c>
      <c r="C58" s="437">
        <v>85</v>
      </c>
      <c r="D58" s="437">
        <v>85</v>
      </c>
      <c r="E58" s="437">
        <v>86</v>
      </c>
      <c r="F58" s="437">
        <v>85</v>
      </c>
      <c r="G58" s="437">
        <v>85</v>
      </c>
      <c r="H58" s="437">
        <v>83</v>
      </c>
      <c r="I58" s="437">
        <v>85</v>
      </c>
      <c r="J58" s="437">
        <v>85</v>
      </c>
      <c r="K58" s="437">
        <v>85</v>
      </c>
      <c r="L58" s="437">
        <v>86</v>
      </c>
      <c r="M58" s="437">
        <v>85</v>
      </c>
      <c r="N58" s="437">
        <v>84</v>
      </c>
      <c r="O58" s="437">
        <v>82</v>
      </c>
      <c r="P58" s="437">
        <v>82</v>
      </c>
      <c r="Q58" s="437">
        <v>85</v>
      </c>
      <c r="R58" s="437">
        <v>85</v>
      </c>
      <c r="S58" s="437">
        <v>80</v>
      </c>
      <c r="T58" s="437">
        <v>81</v>
      </c>
      <c r="U58" s="437">
        <v>85</v>
      </c>
      <c r="V58" s="437">
        <v>80</v>
      </c>
      <c r="W58" s="437">
        <v>80</v>
      </c>
      <c r="X58" s="437">
        <v>80</v>
      </c>
      <c r="Y58" s="437">
        <v>80</v>
      </c>
      <c r="Z58" s="437">
        <v>82</v>
      </c>
      <c r="AA58" s="437">
        <v>85</v>
      </c>
      <c r="AB58" s="437">
        <v>80</v>
      </c>
      <c r="AC58" s="437">
        <v>84</v>
      </c>
      <c r="AD58" s="437">
        <v>82</v>
      </c>
      <c r="AE58" s="438"/>
      <c r="AF58" s="438"/>
      <c r="AG58" s="438"/>
      <c r="AH58" s="138">
        <f>IFERROR(AVERAGEIF(C58:AG58,"&lt;&gt;0"),)</f>
      </c>
      <c r="AI58" s="6"/>
      <c r="AJ58" s="217">
        <f>AH58</f>
      </c>
      <c r="AK58" s="216" t="s">
        <v>120</v>
      </c>
      <c r="AL58" s="101"/>
      <c r="AM58" s="5"/>
      <c r="AN58" s="334"/>
    </row>
    <row x14ac:dyDescent="0.25" r="59" customHeight="1" ht="18.75">
      <c r="A59" s="11"/>
      <c r="B59" s="436" t="s">
        <v>168</v>
      </c>
      <c r="C59" s="437">
        <v>78</v>
      </c>
      <c r="D59" s="437">
        <v>80</v>
      </c>
      <c r="E59" s="437">
        <v>80</v>
      </c>
      <c r="F59" s="437">
        <v>79</v>
      </c>
      <c r="G59" s="437">
        <v>79</v>
      </c>
      <c r="H59" s="437">
        <v>79</v>
      </c>
      <c r="I59" s="437">
        <v>80</v>
      </c>
      <c r="J59" s="437">
        <v>78</v>
      </c>
      <c r="K59" s="437">
        <v>78</v>
      </c>
      <c r="L59" s="437">
        <v>80</v>
      </c>
      <c r="M59" s="437">
        <v>79</v>
      </c>
      <c r="N59" s="437">
        <v>78</v>
      </c>
      <c r="O59" s="437">
        <v>78</v>
      </c>
      <c r="P59" s="437">
        <v>78</v>
      </c>
      <c r="Q59" s="437">
        <v>80</v>
      </c>
      <c r="R59" s="437">
        <v>75</v>
      </c>
      <c r="S59" s="437">
        <v>75</v>
      </c>
      <c r="T59" s="437">
        <v>76</v>
      </c>
      <c r="U59" s="437">
        <v>75</v>
      </c>
      <c r="V59" s="437">
        <v>76</v>
      </c>
      <c r="W59" s="437">
        <v>75</v>
      </c>
      <c r="X59" s="437">
        <v>74</v>
      </c>
      <c r="Y59" s="437">
        <v>77</v>
      </c>
      <c r="Z59" s="437">
        <v>78</v>
      </c>
      <c r="AA59" s="437">
        <v>79</v>
      </c>
      <c r="AB59" s="437">
        <v>77</v>
      </c>
      <c r="AC59" s="437">
        <v>80</v>
      </c>
      <c r="AD59" s="437">
        <v>78</v>
      </c>
      <c r="AE59" s="114"/>
      <c r="AF59" s="114"/>
      <c r="AG59" s="114"/>
      <c r="AH59" s="138">
        <f>IFERROR(AVERAGEIF(C59:AG59,"&lt;&gt;0"),)</f>
      </c>
      <c r="AI59" s="6"/>
      <c r="AJ59" s="217">
        <f>AH59</f>
      </c>
      <c r="AK59" s="216" t="s">
        <v>121</v>
      </c>
      <c r="AL59" s="101"/>
      <c r="AM59" s="5"/>
      <c r="AN59" s="334"/>
    </row>
    <row x14ac:dyDescent="0.25" r="60" customHeight="1" ht="18.75">
      <c r="A60" s="53"/>
      <c r="B60" s="441" t="s">
        <v>208</v>
      </c>
      <c r="C60" s="442"/>
      <c r="D60" s="442"/>
      <c r="E60" s="442"/>
      <c r="F60" s="442"/>
      <c r="G60" s="442"/>
      <c r="H60" s="442"/>
      <c r="I60" s="442"/>
      <c r="J60" s="442"/>
      <c r="K60" s="442"/>
      <c r="L60" s="442"/>
      <c r="M60" s="442"/>
      <c r="N60" s="442"/>
      <c r="O60" s="442"/>
      <c r="P60" s="442"/>
      <c r="Q60" s="442"/>
      <c r="R60" s="442"/>
      <c r="S60" s="442"/>
      <c r="T60" s="442"/>
      <c r="U60" s="442"/>
      <c r="V60" s="442"/>
      <c r="W60" s="442"/>
      <c r="X60" s="442"/>
      <c r="Y60" s="442"/>
      <c r="Z60" s="442"/>
      <c r="AA60" s="442"/>
      <c r="AB60" s="442"/>
      <c r="AC60" s="442"/>
      <c r="AD60" s="442"/>
      <c r="AE60" s="442"/>
      <c r="AF60" s="442"/>
      <c r="AG60" s="442"/>
      <c r="AH60" s="443">
        <f>IFERROR(AVERAGEIF(C60:AG60,"&lt;&gt;0"),)</f>
      </c>
      <c r="AI60" s="6"/>
      <c r="AJ60" s="444">
        <f>AH60</f>
      </c>
      <c r="AK60" s="236" t="s">
        <v>209</v>
      </c>
      <c r="AL60" s="101"/>
      <c r="AM60" s="5"/>
      <c r="AN60" s="334"/>
    </row>
  </sheetData>
  <mergeCells count="3">
    <mergeCell ref="AJ31:AM31"/>
    <mergeCell ref="AJ39:AK39"/>
    <mergeCell ref="AL39:A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2"/>
  <sheetViews>
    <sheetView workbookViewId="0"/>
  </sheetViews>
  <sheetFormatPr defaultRowHeight="15" x14ac:dyDescent="0.25"/>
  <cols>
    <col min="1" max="1" style="356" width="8.147857142857141" customWidth="1" bestFit="1"/>
    <col min="2" max="2" style="23" width="4.005" customWidth="1" bestFit="1"/>
    <col min="3" max="3" style="27" width="11.005" customWidth="1" bestFit="1"/>
    <col min="4" max="4" style="36" width="10.005" customWidth="1" bestFit="1"/>
    <col min="5" max="5" style="27" width="10.005" customWidth="1" bestFit="1"/>
    <col min="6" max="6" style="27" width="10.005" customWidth="1" bestFit="1"/>
    <col min="7" max="7" style="27" width="9.005" customWidth="1" bestFit="1"/>
    <col min="8" max="8" style="27" width="10.005" customWidth="1" bestFit="1"/>
    <col min="9" max="9" style="27" width="10.005" customWidth="1" bestFit="1"/>
    <col min="10" max="10" style="23" width="1.719285714285714" customWidth="1" bestFit="1"/>
    <col min="11" max="11" style="357" width="4.005" customWidth="1" bestFit="1"/>
    <col min="12" max="12" style="357" width="3.7192857142857143" customWidth="1" bestFit="1"/>
    <col min="13" max="13" style="357" width="3.7192857142857143" customWidth="1" bestFit="1"/>
    <col min="14" max="14" style="23" width="1.719285714285714" customWidth="1" bestFit="1"/>
    <col min="15" max="15" style="358" width="6.005" customWidth="1" bestFit="1"/>
  </cols>
  <sheetData>
    <row x14ac:dyDescent="0.25" r="1" customHeight="1" ht="84.75">
      <c r="A1" s="299"/>
      <c r="B1" s="300"/>
      <c r="C1" s="301" t="s">
        <v>162</v>
      </c>
      <c r="D1" s="302" t="s">
        <v>50</v>
      </c>
      <c r="E1" s="303" t="s">
        <v>58</v>
      </c>
      <c r="F1" s="303" t="s">
        <v>163</v>
      </c>
      <c r="G1" s="303" t="s">
        <v>62</v>
      </c>
      <c r="H1" s="303" t="s">
        <v>164</v>
      </c>
      <c r="I1" s="303" t="s">
        <v>165</v>
      </c>
      <c r="J1" s="304"/>
      <c r="K1" s="305" t="s">
        <v>166</v>
      </c>
      <c r="L1" s="305" t="s">
        <v>167</v>
      </c>
      <c r="M1" s="305" t="s">
        <v>168</v>
      </c>
      <c r="N1" s="304"/>
      <c r="O1" s="306" t="s">
        <v>169</v>
      </c>
    </row>
    <row x14ac:dyDescent="0.25" r="2" customHeight="1" ht="18.75">
      <c r="A2" s="307">
        <f>'Cash Flow'!A8</f>
        <v>25568.708333333332</v>
      </c>
      <c r="B2" s="308">
        <f>TEXT(A2,"ddd")</f>
      </c>
      <c r="C2" s="309">
        <f>TRANSPOSE(Pool!C4:AG4)</f>
      </c>
      <c r="D2" s="309">
        <f>TRANSPOSE(Pool!C9:AG9)</f>
      </c>
      <c r="E2" s="309">
        <f>TRANSPOSE(Pool!C14:AG14)</f>
      </c>
      <c r="F2" s="309">
        <f>TRANSPOSE(Pool!C15:AG15)</f>
      </c>
      <c r="G2" s="309">
        <f>TRANSPOSE(Pool!C16:AG16)</f>
      </c>
      <c r="H2" s="309">
        <f>TRANSPOSE(Pool!C18:AG18)</f>
      </c>
      <c r="I2" s="310">
        <f>TRANSPOSE(Pool!C20:AG20)</f>
      </c>
      <c r="J2" s="311"/>
      <c r="K2" s="312">
        <f>TRANSPOSE(Pool!C57:AG57)</f>
      </c>
      <c r="L2" s="313">
        <f>TRANSPOSE(Pool!C58:AG58)</f>
      </c>
      <c r="M2" s="314">
        <f>TRANSPOSE(Pool!C59:AG59)</f>
      </c>
      <c r="N2" s="311"/>
      <c r="O2" s="315">
        <f>TRANSPOSE(Pool!C50:AG50)</f>
      </c>
    </row>
    <row x14ac:dyDescent="0.25" r="3" customHeight="1" ht="18.75">
      <c r="A3" s="316">
        <f>SUM(A2+1)</f>
        <v>25568.708333333332</v>
      </c>
      <c r="B3" s="317">
        <f>TEXT(A3,"ddd")</f>
      </c>
      <c r="C3" s="318">
        <f>TRANSPOSE(Pool!C9:AG9)</f>
      </c>
      <c r="D3" s="318">
        <v>780</v>
      </c>
      <c r="E3" s="318">
        <v>269</v>
      </c>
      <c r="F3" s="318">
        <v>1248.09</v>
      </c>
      <c r="G3" s="318">
        <v>0</v>
      </c>
      <c r="H3" s="318">
        <f>TRANSPOSE(Pool!C19:AG19)</f>
      </c>
      <c r="I3" s="319">
        <v>0</v>
      </c>
      <c r="J3" s="311"/>
      <c r="K3" s="320">
        <v>102</v>
      </c>
      <c r="L3" s="321">
        <v>85</v>
      </c>
      <c r="M3" s="322">
        <v>80</v>
      </c>
      <c r="N3" s="311"/>
      <c r="O3" s="323">
        <v>839</v>
      </c>
    </row>
    <row x14ac:dyDescent="0.25" r="4" customHeight="1" ht="18.75">
      <c r="A4" s="316">
        <f>SUM(A3+1)</f>
        <v>25568.708333333332</v>
      </c>
      <c r="B4" s="317">
        <f>TEXT(A4,"0")</f>
      </c>
      <c r="C4" s="318">
        <f>TRANSPOSE(Pool!C5:AG5)</f>
      </c>
      <c r="D4" s="318">
        <v>401</v>
      </c>
      <c r="E4" s="318">
        <v>12</v>
      </c>
      <c r="F4" s="318">
        <v>393.77</v>
      </c>
      <c r="G4" s="318">
        <v>0</v>
      </c>
      <c r="H4" s="318">
        <f>TRANSPOSE(Pool!C21:AG21)</f>
      </c>
      <c r="I4" s="319">
        <v>0</v>
      </c>
      <c r="J4" s="311"/>
      <c r="K4" s="320">
        <v>102</v>
      </c>
      <c r="L4" s="321">
        <v>86</v>
      </c>
      <c r="M4" s="322">
        <v>80</v>
      </c>
      <c r="N4" s="311"/>
      <c r="O4" s="323">
        <v>500</v>
      </c>
    </row>
    <row x14ac:dyDescent="0.25" r="5" customHeight="1" ht="18.75">
      <c r="A5" s="316">
        <f>SUM(A4+1)</f>
        <v>25568.708333333332</v>
      </c>
      <c r="B5" s="317">
        <f>TEXT(A5,"ddd")</f>
      </c>
      <c r="C5" s="318">
        <f>TRANSPOSE(Pool!C6:AG6)</f>
      </c>
      <c r="D5" s="318">
        <v>559</v>
      </c>
      <c r="E5" s="318">
        <v>32</v>
      </c>
      <c r="F5" s="318">
        <v>757.61</v>
      </c>
      <c r="G5" s="318">
        <v>0</v>
      </c>
      <c r="H5" s="318">
        <f>TRANSPOSE(Pool!C20:AG20)</f>
      </c>
      <c r="I5" s="319">
        <v>90</v>
      </c>
      <c r="J5" s="311"/>
      <c r="K5" s="320">
        <v>99</v>
      </c>
      <c r="L5" s="321">
        <v>85</v>
      </c>
      <c r="M5" s="322">
        <v>79</v>
      </c>
      <c r="N5" s="311"/>
      <c r="O5" s="323">
        <v>582</v>
      </c>
    </row>
    <row x14ac:dyDescent="0.25" r="6" customHeight="1" ht="18.75">
      <c r="A6" s="316">
        <f>SUM(A5+1)</f>
        <v>25568.708333333332</v>
      </c>
      <c r="B6" s="317">
        <f>TEXT(A6,"0")</f>
      </c>
      <c r="C6" s="318">
        <f>TRANSPOSE(Pool!C7:AG7)</f>
      </c>
      <c r="D6" s="318">
        <v>290</v>
      </c>
      <c r="E6" s="318">
        <v>64</v>
      </c>
      <c r="F6" s="318">
        <v>514.44</v>
      </c>
      <c r="G6" s="318">
        <v>0</v>
      </c>
      <c r="H6" s="318">
        <f>TRANSPOSE(Pool!C22:AG22)</f>
      </c>
      <c r="I6" s="319">
        <v>0</v>
      </c>
      <c r="J6" s="311"/>
      <c r="K6" s="320">
        <v>99</v>
      </c>
      <c r="L6" s="321">
        <v>85</v>
      </c>
      <c r="M6" s="322">
        <v>79</v>
      </c>
      <c r="N6" s="311"/>
      <c r="O6" s="323">
        <v>569</v>
      </c>
    </row>
    <row x14ac:dyDescent="0.25" r="7" customHeight="1" ht="18.75">
      <c r="A7" s="316">
        <f>SUM(A6+1)</f>
        <v>25568.708333333332</v>
      </c>
      <c r="B7" s="317">
        <f>TEXT(A7,"ddd")</f>
      </c>
      <c r="C7" s="318">
        <f>TRANSPOSE(Pool!C8:AG8)</f>
      </c>
      <c r="D7" s="318">
        <v>551</v>
      </c>
      <c r="E7" s="318">
        <v>40</v>
      </c>
      <c r="F7" s="318">
        <v>950.39</v>
      </c>
      <c r="G7" s="318">
        <v>0</v>
      </c>
      <c r="H7" s="318">
        <f>TRANSPOSE(Pool!C23:AG23)</f>
      </c>
      <c r="I7" s="319">
        <v>0</v>
      </c>
      <c r="J7" s="311"/>
      <c r="K7" s="320">
        <v>99</v>
      </c>
      <c r="L7" s="321">
        <v>83</v>
      </c>
      <c r="M7" s="322">
        <v>79</v>
      </c>
      <c r="N7" s="311"/>
      <c r="O7" s="323">
        <v>679</v>
      </c>
    </row>
    <row x14ac:dyDescent="0.25" r="8" customHeight="1" ht="18.75">
      <c r="A8" s="316">
        <f>SUM(A7+1)</f>
        <v>25568.708333333332</v>
      </c>
      <c r="B8" s="317">
        <f>TEXT(A8,"0")</f>
      </c>
      <c r="C8" s="318">
        <f>TRANSPOSE(Pool!C10:AG10)</f>
      </c>
      <c r="D8" s="318">
        <v>420</v>
      </c>
      <c r="E8" s="318">
        <v>24</v>
      </c>
      <c r="F8" s="318">
        <v>835.33</v>
      </c>
      <c r="G8" s="318">
        <v>0</v>
      </c>
      <c r="H8" s="318">
        <f>TRANSPOSE(Pool!C24:AG24)</f>
      </c>
      <c r="I8" s="319">
        <v>0</v>
      </c>
      <c r="J8" s="311"/>
      <c r="K8" s="320">
        <v>100</v>
      </c>
      <c r="L8" s="321">
        <v>85</v>
      </c>
      <c r="M8" s="322">
        <v>80</v>
      </c>
      <c r="N8" s="311"/>
      <c r="O8" s="323">
        <v>581</v>
      </c>
    </row>
    <row x14ac:dyDescent="0.25" r="9" customHeight="1" ht="18.75">
      <c r="A9" s="316">
        <f>SUM(A8+1)</f>
        <v>25568.708333333332</v>
      </c>
      <c r="B9" s="317">
        <f>TEXT(A9,"ddd")</f>
      </c>
      <c r="C9" s="318">
        <f>TRANSPOSE(Pool!C11:AG11)</f>
      </c>
      <c r="D9" s="318">
        <v>640</v>
      </c>
      <c r="E9" s="318">
        <v>28</v>
      </c>
      <c r="F9" s="318">
        <v>1253.73</v>
      </c>
      <c r="G9" s="318">
        <v>0</v>
      </c>
      <c r="H9" s="318">
        <f>TRANSPOSE(Pool!C25:AG25)</f>
      </c>
      <c r="I9" s="319">
        <v>0</v>
      </c>
      <c r="J9" s="311"/>
      <c r="K9" s="320">
        <v>102</v>
      </c>
      <c r="L9" s="321">
        <v>85</v>
      </c>
      <c r="M9" s="322">
        <v>78</v>
      </c>
      <c r="N9" s="311"/>
      <c r="O9" s="323">
        <v>876</v>
      </c>
    </row>
    <row x14ac:dyDescent="0.25" r="10" customHeight="1" ht="18.75">
      <c r="A10" s="316">
        <f>SUM(A9+1)</f>
        <v>25568.708333333332</v>
      </c>
      <c r="B10" s="317">
        <f>TEXT(A10,"0")</f>
      </c>
      <c r="C10" s="318">
        <f>TRANSPOSE(Pool!C12:AG12)</f>
      </c>
      <c r="D10" s="318">
        <v>524</v>
      </c>
      <c r="E10" s="318">
        <v>290</v>
      </c>
      <c r="F10" s="318">
        <v>984.1</v>
      </c>
      <c r="G10" s="318">
        <v>0</v>
      </c>
      <c r="H10" s="318">
        <f>TRANSPOSE(Pool!C26:AG26)</f>
      </c>
      <c r="I10" s="319">
        <v>0</v>
      </c>
      <c r="J10" s="311"/>
      <c r="K10" s="320">
        <v>102</v>
      </c>
      <c r="L10" s="321">
        <v>85</v>
      </c>
      <c r="M10" s="322">
        <v>78</v>
      </c>
      <c r="N10" s="311"/>
      <c r="O10" s="323">
        <v>765</v>
      </c>
    </row>
    <row x14ac:dyDescent="0.25" r="11" customHeight="1" ht="18.75">
      <c r="A11" s="316">
        <f>SUM(A10+1)</f>
        <v>25568.708333333332</v>
      </c>
      <c r="B11" s="317">
        <f>TEXT(A11,"ddd")</f>
      </c>
      <c r="C11" s="318">
        <f>TRANSPOSE(Pool!C13:AG13)</f>
      </c>
      <c r="D11" s="318">
        <v>385</v>
      </c>
      <c r="E11" s="318">
        <v>24</v>
      </c>
      <c r="F11" s="318">
        <v>620.27</v>
      </c>
      <c r="G11" s="318">
        <v>0</v>
      </c>
      <c r="H11" s="318">
        <f>TRANSPOSE(Pool!C27:AG27)</f>
      </c>
      <c r="I11" s="319">
        <v>90</v>
      </c>
      <c r="J11" s="311"/>
      <c r="K11" s="320">
        <v>102</v>
      </c>
      <c r="L11" s="321">
        <v>86</v>
      </c>
      <c r="M11" s="322">
        <v>80</v>
      </c>
      <c r="N11" s="311"/>
      <c r="O11" s="323">
        <v>553</v>
      </c>
    </row>
    <row x14ac:dyDescent="0.25" r="12" customHeight="1" ht="18.75">
      <c r="A12" s="316">
        <f>SUM(A11+1)</f>
        <v>25568.708333333332</v>
      </c>
      <c r="B12" s="317">
        <f>TEXT(A12,"0")</f>
      </c>
      <c r="C12" s="318">
        <f>TRANSPOSE(Pool!C14:AG14)</f>
      </c>
      <c r="D12" s="318">
        <v>641</v>
      </c>
      <c r="E12" s="318">
        <v>118</v>
      </c>
      <c r="F12" s="318">
        <v>850.92</v>
      </c>
      <c r="G12" s="318">
        <v>0</v>
      </c>
      <c r="H12" s="318">
        <f>TRANSPOSE(Pool!C28:AG28)</f>
      </c>
      <c r="I12" s="319">
        <v>0</v>
      </c>
      <c r="J12" s="311"/>
      <c r="K12" s="320">
        <v>100</v>
      </c>
      <c r="L12" s="321">
        <v>85</v>
      </c>
      <c r="M12" s="322">
        <v>79</v>
      </c>
      <c r="N12" s="311"/>
      <c r="O12" s="323">
        <v>698</v>
      </c>
    </row>
    <row x14ac:dyDescent="0.25" r="13" customHeight="1" ht="18.75">
      <c r="A13" s="316">
        <f>SUM(A12+1)</f>
        <v>25568.708333333332</v>
      </c>
      <c r="B13" s="317">
        <f>TEXT(A13,"ddd")</f>
      </c>
      <c r="C13" s="318">
        <f>TRANSPOSE(Pool!C15:AG15)</f>
      </c>
      <c r="D13" s="318">
        <v>585</v>
      </c>
      <c r="E13" s="318">
        <v>32</v>
      </c>
      <c r="F13" s="318">
        <v>949.74</v>
      </c>
      <c r="G13" s="318">
        <v>0</v>
      </c>
      <c r="H13" s="318">
        <f>TRANSPOSE(Pool!C29:AG29)</f>
      </c>
      <c r="I13" s="319">
        <v>45</v>
      </c>
      <c r="J13" s="311"/>
      <c r="K13" s="320">
        <v>100</v>
      </c>
      <c r="L13" s="321">
        <v>84</v>
      </c>
      <c r="M13" s="322">
        <v>78</v>
      </c>
      <c r="N13" s="311"/>
      <c r="O13" s="323">
        <v>742</v>
      </c>
    </row>
    <row x14ac:dyDescent="0.25" r="14" customHeight="1" ht="18.75">
      <c r="A14" s="316">
        <f>SUM(A13+1)</f>
        <v>25568.708333333332</v>
      </c>
      <c r="B14" s="317">
        <f>TEXT(A14,"0")</f>
      </c>
      <c r="C14" s="318">
        <f>TRANSPOSE(Pool!C16:AG16)</f>
      </c>
      <c r="D14" s="318">
        <v>772</v>
      </c>
      <c r="E14" s="318">
        <v>76</v>
      </c>
      <c r="F14" s="318">
        <v>1193.09</v>
      </c>
      <c r="G14" s="318">
        <v>0</v>
      </c>
      <c r="H14" s="318">
        <f>TRANSPOSE(Pool!C30:AG30)</f>
      </c>
      <c r="I14" s="319">
        <v>45</v>
      </c>
      <c r="J14" s="311"/>
      <c r="K14" s="320">
        <v>100</v>
      </c>
      <c r="L14" s="321">
        <v>82</v>
      </c>
      <c r="M14" s="322">
        <v>78</v>
      </c>
      <c r="N14" s="311"/>
      <c r="O14" s="323">
        <v>821</v>
      </c>
    </row>
    <row x14ac:dyDescent="0.25" r="15" customHeight="1" ht="18.75">
      <c r="A15" s="316">
        <f>SUM(A14+1)</f>
        <v>25568.708333333332</v>
      </c>
      <c r="B15" s="317">
        <f>TEXT(A15,"ddd")</f>
      </c>
      <c r="C15" s="318">
        <f>TRANSPOSE(Pool!C18:AG18)</f>
      </c>
      <c r="D15" s="318">
        <v>360</v>
      </c>
      <c r="E15" s="318">
        <v>24</v>
      </c>
      <c r="F15" s="318">
        <v>485.54</v>
      </c>
      <c r="G15" s="318">
        <v>0</v>
      </c>
      <c r="H15" s="318">
        <f>TRANSPOSE(Pool!C31:AG31)</f>
      </c>
      <c r="I15" s="319">
        <v>0</v>
      </c>
      <c r="J15" s="311"/>
      <c r="K15" s="320">
        <v>98</v>
      </c>
      <c r="L15" s="321">
        <v>82</v>
      </c>
      <c r="M15" s="322">
        <v>78</v>
      </c>
      <c r="N15" s="311"/>
      <c r="O15" s="323">
        <v>476</v>
      </c>
    </row>
    <row x14ac:dyDescent="0.25" r="16" customHeight="1" ht="18.75">
      <c r="A16" s="316">
        <f>SUM(A15+1)</f>
        <v>25568.708333333332</v>
      </c>
      <c r="B16" s="317">
        <f>TEXT(A16,"0")</f>
      </c>
      <c r="C16" s="318">
        <f>TRANSPOSE(Pool!C19:AG19)</f>
      </c>
      <c r="D16" s="318">
        <v>580</v>
      </c>
      <c r="E16" s="318">
        <v>314</v>
      </c>
      <c r="F16" s="318">
        <v>1346.53</v>
      </c>
      <c r="G16" s="318">
        <v>0</v>
      </c>
      <c r="H16" s="318">
        <f>TRANSPOSE(Pool!C32:AG32)</f>
      </c>
      <c r="I16" s="319">
        <v>0</v>
      </c>
      <c r="J16" s="311"/>
      <c r="K16" s="320">
        <v>100</v>
      </c>
      <c r="L16" s="321">
        <v>85</v>
      </c>
      <c r="M16" s="322">
        <v>80</v>
      </c>
      <c r="N16" s="311"/>
      <c r="O16" s="323">
        <v>1007</v>
      </c>
    </row>
    <row x14ac:dyDescent="0.25" r="17" customHeight="1" ht="18.75">
      <c r="A17" s="316">
        <f>SUM(A16+1)</f>
        <v>25568.708333333332</v>
      </c>
      <c r="B17" s="317">
        <f>TEXT(A17,"ddd")</f>
      </c>
      <c r="C17" s="318">
        <f>TRANSPOSE(Pool!C21:AG21)</f>
      </c>
      <c r="D17" s="318">
        <v>774</v>
      </c>
      <c r="E17" s="318">
        <v>44</v>
      </c>
      <c r="F17" s="318">
        <v>764.34</v>
      </c>
      <c r="G17" s="318">
        <v>0</v>
      </c>
      <c r="H17" s="318">
        <f>TRANSPOSE(Pool!C33:AG33)</f>
      </c>
      <c r="I17" s="319">
        <v>0</v>
      </c>
      <c r="J17" s="311"/>
      <c r="K17" s="320">
        <v>102</v>
      </c>
      <c r="L17" s="321">
        <v>85</v>
      </c>
      <c r="M17" s="322">
        <v>75</v>
      </c>
      <c r="N17" s="311"/>
      <c r="O17" s="323">
        <v>917</v>
      </c>
    </row>
    <row x14ac:dyDescent="0.25" r="18" customHeight="1" ht="18.75">
      <c r="A18" s="316">
        <f>SUM(A17+1)</f>
        <v>25568.708333333332</v>
      </c>
      <c r="B18" s="317">
        <f>TEXT(A18,"0")</f>
      </c>
      <c r="C18" s="318">
        <f>TRANSPOSE(Pool!C20:AG20)</f>
      </c>
      <c r="D18" s="318">
        <v>735</v>
      </c>
      <c r="E18" s="318">
        <v>72</v>
      </c>
      <c r="F18" s="318">
        <v>811.02</v>
      </c>
      <c r="G18" s="318">
        <v>0</v>
      </c>
      <c r="H18" s="318">
        <f>TRANSPOSE(Pool!C34:AG34)</f>
      </c>
      <c r="I18" s="319">
        <v>0</v>
      </c>
      <c r="J18" s="311"/>
      <c r="K18" s="320">
        <v>98</v>
      </c>
      <c r="L18" s="321">
        <v>80</v>
      </c>
      <c r="M18" s="322">
        <v>75</v>
      </c>
      <c r="N18" s="311"/>
      <c r="O18" s="323">
        <v>759</v>
      </c>
    </row>
    <row x14ac:dyDescent="0.25" r="19" customHeight="1" ht="18.75">
      <c r="A19" s="316">
        <f>SUM(A18+1)</f>
        <v>25568.708333333332</v>
      </c>
      <c r="B19" s="317">
        <f>TEXT(A19,"ddd")</f>
      </c>
      <c r="C19" s="318">
        <f>TRANSPOSE(Pool!C22:AG22)</f>
      </c>
      <c r="D19" s="318">
        <v>540</v>
      </c>
      <c r="E19" s="318">
        <v>32</v>
      </c>
      <c r="F19" s="318">
        <v>978.29</v>
      </c>
      <c r="G19" s="318">
        <v>0</v>
      </c>
      <c r="H19" s="318">
        <f>TRANSPOSE(Pool!C35:AG35)</f>
      </c>
      <c r="I19" s="319">
        <v>270</v>
      </c>
      <c r="J19" s="311"/>
      <c r="K19" s="320">
        <v>100</v>
      </c>
      <c r="L19" s="321">
        <v>81</v>
      </c>
      <c r="M19" s="322">
        <v>76</v>
      </c>
      <c r="N19" s="311"/>
      <c r="O19" s="323">
        <v>830</v>
      </c>
    </row>
    <row x14ac:dyDescent="0.25" r="20" customHeight="1" ht="18.75">
      <c r="A20" s="316">
        <f>SUM(A19+1)</f>
        <v>25568.708333333332</v>
      </c>
      <c r="B20" s="317">
        <f>TEXT(A20,"0")</f>
      </c>
      <c r="C20" s="318">
        <f>TRANSPOSE(Pool!C23:AG23)</f>
      </c>
      <c r="D20" s="318">
        <v>663</v>
      </c>
      <c r="E20" s="318">
        <v>171</v>
      </c>
      <c r="F20" s="318">
        <v>1021.3</v>
      </c>
      <c r="G20" s="318">
        <v>0</v>
      </c>
      <c r="H20" s="318">
        <f>TRANSPOSE(Pool!C36:AG36)</f>
      </c>
      <c r="I20" s="319">
        <v>180</v>
      </c>
      <c r="J20" s="311"/>
      <c r="K20" s="320">
        <v>102</v>
      </c>
      <c r="L20" s="321">
        <v>85</v>
      </c>
      <c r="M20" s="322">
        <v>75</v>
      </c>
      <c r="N20" s="311"/>
      <c r="O20" s="323">
        <v>891</v>
      </c>
    </row>
    <row x14ac:dyDescent="0.25" r="21" customHeight="1" ht="18.75">
      <c r="A21" s="316">
        <f>SUM(A20+1)</f>
        <v>25568.708333333332</v>
      </c>
      <c r="B21" s="317">
        <f>TEXT(A21,"ddd")</f>
      </c>
      <c r="C21" s="318">
        <f>TRANSPOSE(Pool!C24:AG24)</f>
      </c>
      <c r="D21" s="318">
        <v>371</v>
      </c>
      <c r="E21" s="318">
        <v>64</v>
      </c>
      <c r="F21" s="318">
        <v>559.83</v>
      </c>
      <c r="G21" s="318">
        <v>0</v>
      </c>
      <c r="H21" s="318">
        <f>TRANSPOSE(Pool!C37:AG37)</f>
      </c>
      <c r="I21" s="319">
        <v>360</v>
      </c>
      <c r="J21" s="311"/>
      <c r="K21" s="320">
        <v>98</v>
      </c>
      <c r="L21" s="321">
        <v>80</v>
      </c>
      <c r="M21" s="322">
        <v>76</v>
      </c>
      <c r="N21" s="311"/>
      <c r="O21" s="323">
        <v>598</v>
      </c>
    </row>
    <row x14ac:dyDescent="0.25" r="22" customHeight="1" ht="18.75">
      <c r="A22" s="316">
        <f>SUM(A21+1)</f>
        <v>25568.708333333332</v>
      </c>
      <c r="B22" s="317">
        <f>TEXT(A22,"0")</f>
      </c>
      <c r="C22" s="318">
        <f>TRANSPOSE(Pool!C25:AG25)</f>
      </c>
      <c r="D22" s="318">
        <v>371</v>
      </c>
      <c r="E22" s="318">
        <v>36</v>
      </c>
      <c r="F22" s="318">
        <v>876.4</v>
      </c>
      <c r="G22" s="318">
        <v>0</v>
      </c>
      <c r="H22" s="318">
        <f>TRANSPOSE(Pool!C38:AG38)</f>
      </c>
      <c r="I22" s="319">
        <v>270</v>
      </c>
      <c r="J22" s="311"/>
      <c r="K22" s="320">
        <v>99</v>
      </c>
      <c r="L22" s="321">
        <v>80</v>
      </c>
      <c r="M22" s="322">
        <v>75</v>
      </c>
      <c r="N22" s="311"/>
      <c r="O22" s="323">
        <v>588</v>
      </c>
    </row>
    <row x14ac:dyDescent="0.25" r="23" customHeight="1" ht="18.75">
      <c r="A23" s="316">
        <f>SUM(A22+1)</f>
        <v>25568.708333333332</v>
      </c>
      <c r="B23" s="317">
        <f>TEXT(A23,"ddd")</f>
      </c>
      <c r="C23" s="318">
        <f>TRANSPOSE(Pool!C26:AG26)</f>
      </c>
      <c r="D23" s="318">
        <v>875</v>
      </c>
      <c r="E23" s="318">
        <v>176</v>
      </c>
      <c r="F23" s="318">
        <v>1029.92</v>
      </c>
      <c r="G23" s="318">
        <v>0</v>
      </c>
      <c r="H23" s="318">
        <f>TRANSPOSE(Pool!C39:AG39)</f>
      </c>
      <c r="I23" s="319">
        <v>180</v>
      </c>
      <c r="J23" s="311"/>
      <c r="K23" s="320">
        <v>100</v>
      </c>
      <c r="L23" s="321">
        <v>80</v>
      </c>
      <c r="M23" s="322">
        <v>74</v>
      </c>
      <c r="N23" s="311"/>
      <c r="O23" s="323">
        <v>993</v>
      </c>
    </row>
    <row x14ac:dyDescent="0.25" r="24" customHeight="1" ht="18.75">
      <c r="A24" s="316">
        <f>SUM(A23+1)</f>
        <v>25568.708333333332</v>
      </c>
      <c r="B24" s="317">
        <f>TEXT(A24,"0")</f>
      </c>
      <c r="C24" s="318">
        <f>TRANSPOSE(Pool!C27:AG27)</f>
      </c>
      <c r="D24" s="318">
        <v>465</v>
      </c>
      <c r="E24" s="318">
        <v>116</v>
      </c>
      <c r="F24" s="318">
        <v>1276.06</v>
      </c>
      <c r="G24" s="318">
        <v>0</v>
      </c>
      <c r="H24" s="318">
        <f>TRANSPOSE(Pool!C40:AG40)</f>
      </c>
      <c r="I24" s="319">
        <v>0</v>
      </c>
      <c r="J24" s="311"/>
      <c r="K24" s="320">
        <v>100</v>
      </c>
      <c r="L24" s="321">
        <v>80</v>
      </c>
      <c r="M24" s="322">
        <v>77</v>
      </c>
      <c r="N24" s="311"/>
      <c r="O24" s="323">
        <v>862</v>
      </c>
    </row>
    <row x14ac:dyDescent="0.25" r="25" customHeight="1" ht="18.75">
      <c r="A25" s="316">
        <f>SUM(A24+1)</f>
        <v>25568.708333333332</v>
      </c>
      <c r="B25" s="317">
        <f>TEXT(A25,"ddd")</f>
      </c>
      <c r="C25" s="318">
        <f>TRANSPOSE(Pool!C28:AG28)</f>
      </c>
      <c r="D25" s="318">
        <v>751</v>
      </c>
      <c r="E25" s="318">
        <v>32</v>
      </c>
      <c r="F25" s="318">
        <v>1323.42</v>
      </c>
      <c r="G25" s="318">
        <v>0</v>
      </c>
      <c r="H25" s="318">
        <f>TRANSPOSE(Pool!C41:AG41)</f>
      </c>
      <c r="I25" s="319">
        <v>0</v>
      </c>
      <c r="J25" s="311"/>
      <c r="K25" s="320">
        <v>101</v>
      </c>
      <c r="L25" s="321">
        <v>82</v>
      </c>
      <c r="M25" s="322">
        <v>78</v>
      </c>
      <c r="N25" s="311"/>
      <c r="O25" s="323">
        <v>882</v>
      </c>
    </row>
    <row x14ac:dyDescent="0.25" r="26" customHeight="1" ht="18.75">
      <c r="A26" s="316">
        <f>SUM(A25+1)</f>
        <v>25568.708333333332</v>
      </c>
      <c r="B26" s="317">
        <f>TEXT(A26,"0")</f>
      </c>
      <c r="C26" s="318">
        <f>TRANSPOSE(Pool!C29:AG29)</f>
      </c>
      <c r="D26" s="318">
        <v>872</v>
      </c>
      <c r="E26" s="318">
        <v>52</v>
      </c>
      <c r="F26" s="318">
        <v>1154.85</v>
      </c>
      <c r="G26" s="318">
        <v>0</v>
      </c>
      <c r="H26" s="318">
        <f>TRANSPOSE(Pool!C42:AG42)</f>
      </c>
      <c r="I26" s="319">
        <v>45</v>
      </c>
      <c r="J26" s="311"/>
      <c r="K26" s="320">
        <v>101</v>
      </c>
      <c r="L26" s="321">
        <v>85</v>
      </c>
      <c r="M26" s="322">
        <v>79</v>
      </c>
      <c r="N26" s="311"/>
      <c r="O26" s="323">
        <v>878</v>
      </c>
    </row>
    <row x14ac:dyDescent="0.25" r="27" customHeight="1" ht="18.75">
      <c r="A27" s="316">
        <f>SUM(A26+1)</f>
        <v>25568.708333333332</v>
      </c>
      <c r="B27" s="317">
        <f>TEXT(A27,"ddd")</f>
      </c>
      <c r="C27" s="318">
        <f>TRANSPOSE(Pool!C30:AG30)</f>
      </c>
      <c r="D27" s="318">
        <v>302</v>
      </c>
      <c r="E27" s="318">
        <v>44</v>
      </c>
      <c r="F27" s="318">
        <v>763.59</v>
      </c>
      <c r="G27" s="318">
        <v>0</v>
      </c>
      <c r="H27" s="318">
        <f>TRANSPOSE(Pool!C43:AG43)</f>
      </c>
      <c r="I27" s="319">
        <v>45</v>
      </c>
      <c r="J27" s="311"/>
      <c r="K27" s="320">
        <v>100</v>
      </c>
      <c r="L27" s="321">
        <v>80</v>
      </c>
      <c r="M27" s="322">
        <v>77</v>
      </c>
      <c r="N27" s="311"/>
      <c r="O27" s="323">
        <v>619</v>
      </c>
    </row>
    <row x14ac:dyDescent="0.25" r="28" customHeight="1" ht="18.75">
      <c r="A28" s="316">
        <f>SUM(A27+1)</f>
        <v>25568.708333333332</v>
      </c>
      <c r="B28" s="317">
        <f>TEXT(A28,"0")</f>
      </c>
      <c r="C28" s="318">
        <f>TRANSPOSE(Pool!C31:AG31)</f>
      </c>
      <c r="D28" s="318">
        <v>384</v>
      </c>
      <c r="E28" s="318">
        <v>84</v>
      </c>
      <c r="F28" s="318">
        <v>579.3</v>
      </c>
      <c r="G28" s="318">
        <v>0</v>
      </c>
      <c r="H28" s="318">
        <f>TRANSPOSE(Pool!C44:AG44)</f>
      </c>
      <c r="I28" s="319">
        <v>0</v>
      </c>
      <c r="J28" s="311"/>
      <c r="K28" s="320">
        <v>100</v>
      </c>
      <c r="L28" s="321">
        <v>84</v>
      </c>
      <c r="M28" s="322">
        <v>80</v>
      </c>
      <c r="N28" s="311"/>
      <c r="O28" s="323">
        <v>461</v>
      </c>
    </row>
    <row x14ac:dyDescent="0.25" r="29" customHeight="1" ht="18.75">
      <c r="A29" s="316">
        <f>SUM(A28+1)</f>
        <v>25568.708333333332</v>
      </c>
      <c r="B29" s="317">
        <f>TEXT(A29,"ddd")</f>
      </c>
      <c r="C29" s="318">
        <f>TRANSPOSE(Pool!C32:AG32)</f>
      </c>
      <c r="D29" s="318">
        <v>645</v>
      </c>
      <c r="E29" s="318">
        <v>241</v>
      </c>
      <c r="F29" s="318">
        <v>1474.21</v>
      </c>
      <c r="G29" s="318">
        <v>0</v>
      </c>
      <c r="H29" s="318">
        <f>TRANSPOSE(Pool!C45:AG45)</f>
      </c>
      <c r="I29" s="319">
        <v>0</v>
      </c>
      <c r="J29" s="311"/>
      <c r="K29" s="320">
        <v>101</v>
      </c>
      <c r="L29" s="321">
        <v>82</v>
      </c>
      <c r="M29" s="322">
        <v>78</v>
      </c>
      <c r="N29" s="311"/>
      <c r="O29" s="323">
        <v>1005</v>
      </c>
    </row>
    <row x14ac:dyDescent="0.25" r="30" customHeight="1" ht="18.75">
      <c r="A30" s="316">
        <f>SUM(A29+1)</f>
        <v>25568.708333333332</v>
      </c>
      <c r="B30" s="317">
        <f>TEXT(A30,"ddd")</f>
      </c>
      <c r="C30" s="318">
        <f>TRANSPOSE(Pool!C33:AG33)</f>
      </c>
      <c r="D30" s="318">
        <v>786</v>
      </c>
      <c r="E30" s="318">
        <v>52</v>
      </c>
      <c r="F30" s="318">
        <v>837.39</v>
      </c>
      <c r="G30" s="318">
        <v>0</v>
      </c>
      <c r="H30" s="318">
        <f>TRANSPOSE(Pool!C46:AG46)</f>
      </c>
      <c r="I30" s="319">
        <v>0</v>
      </c>
      <c r="J30" s="311"/>
      <c r="K30" s="320">
        <v>0</v>
      </c>
      <c r="L30" s="321">
        <v>0</v>
      </c>
      <c r="M30" s="322">
        <v>0</v>
      </c>
      <c r="N30" s="311"/>
      <c r="O30" s="323">
        <v>768</v>
      </c>
    </row>
    <row x14ac:dyDescent="0.25" r="31" customHeight="1" ht="18.75">
      <c r="A31" s="316">
        <f>SUM(A30+1)</f>
        <v>25568.708333333332</v>
      </c>
      <c r="B31" s="317">
        <f>TEXT(A31,"ddd")</f>
      </c>
      <c r="C31" s="318">
        <f>TRANSPOSE(Pool!C34:AG34)</f>
      </c>
      <c r="D31" s="318">
        <v>697</v>
      </c>
      <c r="E31" s="318">
        <v>32</v>
      </c>
      <c r="F31" s="318">
        <v>937.17</v>
      </c>
      <c r="G31" s="318">
        <v>0</v>
      </c>
      <c r="H31" s="318">
        <f>TRANSPOSE(Pool!C47:AG47)</f>
      </c>
      <c r="I31" s="319">
        <v>0</v>
      </c>
      <c r="J31" s="311"/>
      <c r="K31" s="320">
        <v>0</v>
      </c>
      <c r="L31" s="321">
        <v>0</v>
      </c>
      <c r="M31" s="322">
        <v>0</v>
      </c>
      <c r="N31" s="311"/>
      <c r="O31" s="323">
        <v>946</v>
      </c>
    </row>
    <row x14ac:dyDescent="0.25" r="32" customHeight="1" ht="18.75">
      <c r="A32" s="324">
        <f>SUM(A31+1)</f>
        <v>25568.708333333332</v>
      </c>
      <c r="B32" s="325">
        <f>TEXT(A32,"ddd")</f>
      </c>
      <c r="C32" s="326">
        <f>TRANSPOSE(Pool!C35:AG35)</f>
      </c>
      <c r="D32" s="326">
        <v>0</v>
      </c>
      <c r="E32" s="326">
        <v>0</v>
      </c>
      <c r="F32" s="326">
        <v>0</v>
      </c>
      <c r="G32" s="326">
        <v>0</v>
      </c>
      <c r="H32" s="326">
        <f>TRANSPOSE(Pool!C48:AG48)</f>
      </c>
      <c r="I32" s="327">
        <v>0</v>
      </c>
      <c r="J32" s="311"/>
      <c r="K32" s="328">
        <v>0</v>
      </c>
      <c r="L32" s="329">
        <v>0</v>
      </c>
      <c r="M32" s="330">
        <v>0</v>
      </c>
      <c r="N32" s="311"/>
      <c r="O32" s="331">
        <v>0</v>
      </c>
    </row>
    <row x14ac:dyDescent="0.25" r="33" customHeight="1" ht="18.75">
      <c r="A33" s="332"/>
      <c r="B33" s="6"/>
      <c r="C33" s="22"/>
      <c r="D33" s="22"/>
      <c r="E33" s="22"/>
      <c r="F33" s="22"/>
      <c r="G33" s="22"/>
      <c r="H33" s="22"/>
      <c r="I33" s="22"/>
      <c r="J33" s="6"/>
      <c r="K33" s="333"/>
      <c r="L33" s="333"/>
      <c r="M33" s="333"/>
      <c r="N33" s="6"/>
      <c r="O33" s="334"/>
    </row>
    <row x14ac:dyDescent="0.25" r="34" customHeight="1" ht="18.75">
      <c r="A34" s="335" t="s">
        <v>44</v>
      </c>
      <c r="B34" s="336"/>
      <c r="C34" s="337">
        <f>SUM(C2:C33)</f>
      </c>
      <c r="D34" s="337">
        <f>SUM(D2:D33)</f>
      </c>
      <c r="E34" s="337">
        <f>SUM(E2:E33)</f>
      </c>
      <c r="F34" s="337">
        <f>SUM(F2:F33)</f>
      </c>
      <c r="G34" s="337">
        <f>SUM(G2:G33)</f>
      </c>
      <c r="H34" s="337">
        <f>SUM(H2:H33)</f>
      </c>
      <c r="I34" s="338">
        <f>SUM(I2:I33)</f>
      </c>
      <c r="J34" s="195"/>
      <c r="K34" s="339">
        <f>Pool!AJ57</f>
      </c>
      <c r="L34" s="340">
        <f>Pool!AJ58</f>
      </c>
      <c r="M34" s="341">
        <f>Pool!AJ59</f>
      </c>
      <c r="N34" s="118"/>
      <c r="O34" s="342">
        <f>SUM(O2:O33)</f>
      </c>
    </row>
    <row x14ac:dyDescent="0.25" r="35" customHeight="1" ht="18.75">
      <c r="A35" s="332"/>
      <c r="B35" s="6"/>
      <c r="C35" s="5"/>
      <c r="D35" s="28"/>
      <c r="E35" s="5"/>
      <c r="F35" s="5"/>
      <c r="G35" s="5"/>
      <c r="H35" s="5"/>
      <c r="I35" s="5"/>
      <c r="J35" s="6"/>
      <c r="K35" s="333"/>
      <c r="L35" s="333"/>
      <c r="M35" s="333"/>
      <c r="N35" s="6"/>
      <c r="O35" s="334"/>
    </row>
    <row x14ac:dyDescent="0.25" r="36" customHeight="1" ht="18.75">
      <c r="A36" s="332"/>
      <c r="B36" s="6"/>
      <c r="C36" s="5"/>
      <c r="D36" s="28"/>
      <c r="E36" s="5"/>
      <c r="F36" s="5"/>
      <c r="G36" s="5"/>
      <c r="H36" s="5"/>
      <c r="I36" s="5"/>
      <c r="J36" s="6"/>
      <c r="K36" s="333"/>
      <c r="L36" s="333"/>
      <c r="M36" s="333"/>
      <c r="N36" s="6"/>
      <c r="O36" s="334"/>
    </row>
    <row x14ac:dyDescent="0.25" r="37" customHeight="1" ht="18.75">
      <c r="A37" s="343" t="s">
        <v>170</v>
      </c>
      <c r="B37" s="344"/>
      <c r="C37" s="345"/>
      <c r="D37" s="346"/>
      <c r="E37" s="345"/>
      <c r="F37" s="5"/>
      <c r="G37" s="5"/>
      <c r="H37" s="5"/>
      <c r="I37" s="5"/>
      <c r="J37" s="6"/>
      <c r="K37" s="333"/>
      <c r="L37" s="333"/>
      <c r="M37" s="333"/>
      <c r="N37" s="6"/>
      <c r="O37" s="334"/>
    </row>
    <row x14ac:dyDescent="0.25" r="38" customHeight="1" ht="18.75">
      <c r="A38" s="343"/>
      <c r="B38" s="344"/>
      <c r="C38" s="345" t="s">
        <v>171</v>
      </c>
      <c r="D38" s="347">
        <v>100</v>
      </c>
      <c r="E38" s="345"/>
      <c r="F38" s="5"/>
      <c r="G38" s="5"/>
      <c r="H38" s="5"/>
      <c r="I38" s="5"/>
      <c r="J38" s="6"/>
      <c r="K38" s="333"/>
      <c r="L38" s="333"/>
      <c r="M38" s="333"/>
      <c r="N38" s="6"/>
      <c r="O38" s="334"/>
    </row>
    <row x14ac:dyDescent="0.25" r="39" customHeight="1" ht="18.75">
      <c r="A39" s="343"/>
      <c r="B39" s="348" t="s">
        <v>172</v>
      </c>
      <c r="C39" s="349" t="s">
        <v>173</v>
      </c>
      <c r="D39" s="350">
        <v>-10</v>
      </c>
      <c r="E39" s="345"/>
      <c r="F39" s="5"/>
      <c r="G39" s="5"/>
      <c r="H39" s="5"/>
      <c r="I39" s="5"/>
      <c r="J39" s="6"/>
      <c r="K39" s="333"/>
      <c r="L39" s="333"/>
      <c r="M39" s="333"/>
      <c r="N39" s="6"/>
      <c r="O39" s="334"/>
    </row>
    <row x14ac:dyDescent="0.25" r="40" customHeight="1" ht="18.75">
      <c r="A40" s="343"/>
      <c r="B40" s="344"/>
      <c r="C40" s="345"/>
      <c r="D40" s="347">
        <v>90</v>
      </c>
      <c r="E40" s="345"/>
      <c r="F40" s="5"/>
      <c r="G40" s="5"/>
      <c r="H40" s="5"/>
      <c r="I40" s="5"/>
      <c r="J40" s="6"/>
      <c r="K40" s="333"/>
      <c r="L40" s="333"/>
      <c r="M40" s="333"/>
      <c r="N40" s="6"/>
      <c r="O40" s="334"/>
    </row>
    <row x14ac:dyDescent="0.25" r="41" customHeight="1" ht="18.75">
      <c r="A41" s="343"/>
      <c r="B41" s="351" t="s">
        <v>174</v>
      </c>
      <c r="C41" s="352" t="s">
        <v>114</v>
      </c>
      <c r="D41" s="353">
        <v>20</v>
      </c>
      <c r="E41" s="345"/>
      <c r="F41" s="5"/>
      <c r="G41" s="5"/>
      <c r="H41" s="5"/>
      <c r="I41" s="5"/>
      <c r="J41" s="6"/>
      <c r="K41" s="333"/>
      <c r="L41" s="333"/>
      <c r="M41" s="333"/>
      <c r="N41" s="6"/>
      <c r="O41" s="334"/>
    </row>
    <row x14ac:dyDescent="0.25" r="42" customHeight="1" ht="18.75">
      <c r="A42" s="343"/>
      <c r="B42" s="344"/>
      <c r="C42" s="345"/>
      <c r="D42" s="354">
        <v>110</v>
      </c>
      <c r="E42" s="355" t="s">
        <v>115</v>
      </c>
      <c r="F42" s="5"/>
      <c r="G42" s="5"/>
      <c r="H42" s="5"/>
      <c r="I42" s="5"/>
      <c r="J42" s="6"/>
      <c r="K42" s="333"/>
      <c r="L42" s="333"/>
      <c r="M42" s="333"/>
      <c r="N42" s="6"/>
      <c r="O42" s="334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6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3" width="10.43357142857143" customWidth="1" bestFit="1"/>
    <col min="2" max="2" style="23" width="21.862142857142857" customWidth="1" bestFit="1"/>
    <col min="3" max="3" style="36" width="9.576428571428572" customWidth="1" bestFit="1"/>
    <col min="4" max="4" style="36" width="9.576428571428572" customWidth="1" bestFit="1"/>
    <col min="5" max="5" style="36" width="9.576428571428572" customWidth="1" bestFit="1"/>
    <col min="6" max="6" style="36" width="9.005" customWidth="1" bestFit="1"/>
    <col min="7" max="7" style="36" width="9.576428571428572" customWidth="1" bestFit="1"/>
    <col min="8" max="8" style="36" width="9.576428571428572" customWidth="1" bestFit="1"/>
    <col min="9" max="9" style="36" width="9.576428571428572" customWidth="1" bestFit="1"/>
    <col min="10" max="10" style="36" width="9.576428571428572" customWidth="1" bestFit="1"/>
    <col min="11" max="11" style="36" width="9.576428571428572" customWidth="1" bestFit="1"/>
    <col min="12" max="12" style="36" width="9.576428571428572" customWidth="1" bestFit="1"/>
    <col min="13" max="13" style="36" width="9.576428571428572" customWidth="1" bestFit="1"/>
    <col min="14" max="14" style="36" width="9.576428571428572" customWidth="1" bestFit="1"/>
    <col min="15" max="15" style="36" width="9.576428571428572" customWidth="1" bestFit="1"/>
    <col min="16" max="16" style="36" width="9.576428571428572" customWidth="1" bestFit="1"/>
    <col min="17" max="17" style="36" width="9.576428571428572" customWidth="1" bestFit="1"/>
    <col min="18" max="18" style="36" width="9.576428571428572" customWidth="1" bestFit="1"/>
    <col min="19" max="19" style="36" width="9.576428571428572" customWidth="1" bestFit="1"/>
    <col min="20" max="20" style="36" width="9.576428571428572" customWidth="1" bestFit="1"/>
    <col min="21" max="21" style="36" width="9.576428571428572" customWidth="1" bestFit="1"/>
    <col min="22" max="22" style="36" width="9.576428571428572" customWidth="1" bestFit="1"/>
    <col min="23" max="23" style="36" width="9.576428571428572" customWidth="1" bestFit="1"/>
    <col min="24" max="24" style="36" width="9.576428571428572" customWidth="1" bestFit="1"/>
    <col min="25" max="25" style="36" width="9.576428571428572" customWidth="1" bestFit="1"/>
    <col min="26" max="26" style="36" width="9.576428571428572" customWidth="1" bestFit="1"/>
    <col min="27" max="27" style="36" width="9.576428571428572" customWidth="1" bestFit="1"/>
    <col min="28" max="28" style="36" width="9.576428571428572" customWidth="1" bestFit="1"/>
    <col min="29" max="29" style="36" width="9.576428571428572" customWidth="1" bestFit="1"/>
    <col min="30" max="30" style="36" width="9.576428571428572" customWidth="1" bestFit="1"/>
    <col min="31" max="31" style="36" width="9.576428571428572" customWidth="1" bestFit="1"/>
    <col min="32" max="32" style="36" width="9.576428571428572" customWidth="1" bestFit="1"/>
    <col min="33" max="33" style="36" width="13.576428571428572" customWidth="1" bestFit="1" hidden="1"/>
    <col min="34" max="34" style="36" width="12.576428571428572" customWidth="1" bestFit="1"/>
    <col min="35" max="35" style="23" width="2.4335714285714283" customWidth="1" bestFit="1"/>
    <col min="36" max="36" style="36" width="10.43357142857143" customWidth="1" bestFit="1"/>
    <col min="37" max="37" style="23" width="27.719285714285714" customWidth="1" bestFit="1"/>
    <col min="38" max="38" style="167" width="11.290714285714287" customWidth="1" bestFit="1"/>
    <col min="39" max="39" style="27" width="11.862142857142858" customWidth="1" bestFit="1"/>
    <col min="40" max="40" style="167" width="13.576428571428572" customWidth="1" bestFit="1"/>
  </cols>
  <sheetData>
    <row x14ac:dyDescent="0.25" r="1" customHeight="1" ht="18.75">
      <c r="A1" s="98" t="s">
        <v>18</v>
      </c>
      <c r="B1" s="2">
        <f>'Cash Flow'!C1</f>
      </c>
      <c r="C1" s="168">
        <f>TRANSPOSE('Cash Flow'!B8:B38)</f>
      </c>
      <c r="D1" s="168" t="s">
        <v>123</v>
      </c>
      <c r="E1" s="168" t="s">
        <v>124</v>
      </c>
      <c r="F1" s="168" t="s">
        <v>125</v>
      </c>
      <c r="G1" s="168" t="s">
        <v>126</v>
      </c>
      <c r="H1" s="168" t="s">
        <v>127</v>
      </c>
      <c r="I1" s="168" t="s">
        <v>128</v>
      </c>
      <c r="J1" s="168" t="s">
        <v>129</v>
      </c>
      <c r="K1" s="168" t="s">
        <v>123</v>
      </c>
      <c r="L1" s="168" t="s">
        <v>124</v>
      </c>
      <c r="M1" s="168" t="s">
        <v>125</v>
      </c>
      <c r="N1" s="168" t="s">
        <v>126</v>
      </c>
      <c r="O1" s="168" t="s">
        <v>127</v>
      </c>
      <c r="P1" s="168" t="s">
        <v>128</v>
      </c>
      <c r="Q1" s="168" t="s">
        <v>129</v>
      </c>
      <c r="R1" s="168" t="s">
        <v>123</v>
      </c>
      <c r="S1" s="168" t="s">
        <v>124</v>
      </c>
      <c r="T1" s="168" t="s">
        <v>125</v>
      </c>
      <c r="U1" s="168" t="s">
        <v>126</v>
      </c>
      <c r="V1" s="168" t="s">
        <v>127</v>
      </c>
      <c r="W1" s="168" t="s">
        <v>128</v>
      </c>
      <c r="X1" s="168" t="s">
        <v>129</v>
      </c>
      <c r="Y1" s="168" t="s">
        <v>123</v>
      </c>
      <c r="Z1" s="168" t="s">
        <v>124</v>
      </c>
      <c r="AA1" s="168" t="s">
        <v>125</v>
      </c>
      <c r="AB1" s="168" t="s">
        <v>126</v>
      </c>
      <c r="AC1" s="168" t="s">
        <v>127</v>
      </c>
      <c r="AD1" s="168" t="s">
        <v>128</v>
      </c>
      <c r="AE1" s="168" t="s">
        <v>129</v>
      </c>
      <c r="AF1" s="168" t="s">
        <v>123</v>
      </c>
      <c r="AG1" s="168" t="s">
        <v>124</v>
      </c>
      <c r="AH1" s="28"/>
      <c r="AI1" s="6"/>
      <c r="AJ1" s="28"/>
      <c r="AK1" s="6"/>
      <c r="AL1" s="101"/>
      <c r="AM1" s="5"/>
      <c r="AN1" s="101"/>
    </row>
    <row x14ac:dyDescent="0.25" r="2" customHeight="1" ht="18.75">
      <c r="A2" s="102" t="s">
        <v>130</v>
      </c>
      <c r="B2" s="103" t="s">
        <v>117</v>
      </c>
      <c r="C2" s="104">
        <f>'Cash Flow'!A8</f>
        <v>25568.708333333332</v>
      </c>
      <c r="D2" s="104">
        <f>C2+1</f>
        <v>25568.708333333332</v>
      </c>
      <c r="E2" s="104">
        <f>D2+1</f>
        <v>25568.708333333332</v>
      </c>
      <c r="F2" s="104">
        <f>E2+1</f>
        <v>25568.708333333332</v>
      </c>
      <c r="G2" s="104">
        <f>F2+1</f>
        <v>25568.708333333332</v>
      </c>
      <c r="H2" s="104">
        <f>G2+1</f>
        <v>25568.708333333332</v>
      </c>
      <c r="I2" s="104">
        <f>H2+1</f>
        <v>25568.708333333332</v>
      </c>
      <c r="J2" s="104">
        <f>I2+1</f>
        <v>25568.708333333332</v>
      </c>
      <c r="K2" s="104">
        <f>J2+1</f>
        <v>25568.708333333332</v>
      </c>
      <c r="L2" s="104">
        <f>K2+1</f>
        <v>25568.708333333332</v>
      </c>
      <c r="M2" s="104">
        <f>L2+1</f>
        <v>25568.708333333332</v>
      </c>
      <c r="N2" s="104">
        <f>M2+1</f>
        <v>25568.708333333332</v>
      </c>
      <c r="O2" s="104">
        <f>N2+1</f>
        <v>25568.708333333332</v>
      </c>
      <c r="P2" s="104">
        <f>O2+1</f>
        <v>25568.708333333332</v>
      </c>
      <c r="Q2" s="104">
        <f>P2+1</f>
        <v>25568.708333333332</v>
      </c>
      <c r="R2" s="104">
        <f>Q2+1</f>
        <v>25568.708333333332</v>
      </c>
      <c r="S2" s="104">
        <f>R2+1</f>
        <v>25568.708333333332</v>
      </c>
      <c r="T2" s="104">
        <f>S2+1</f>
        <v>25568.708333333332</v>
      </c>
      <c r="U2" s="104">
        <f>T2+1</f>
        <v>25568.708333333332</v>
      </c>
      <c r="V2" s="104">
        <f>U2+1</f>
        <v>25568.708333333332</v>
      </c>
      <c r="W2" s="104">
        <f>V2+1</f>
        <v>25568.708333333332</v>
      </c>
      <c r="X2" s="104">
        <f>W2+1</f>
        <v>25568.708333333332</v>
      </c>
      <c r="Y2" s="104">
        <f>X2+1</f>
        <v>25568.708333333332</v>
      </c>
      <c r="Z2" s="104">
        <f>Y2+1</f>
        <v>25568.708333333332</v>
      </c>
      <c r="AA2" s="104">
        <f>Z2+1</f>
        <v>25568.708333333332</v>
      </c>
      <c r="AB2" s="104">
        <f>AA2+1</f>
        <v>25568.708333333332</v>
      </c>
      <c r="AC2" s="104">
        <f>AB2+1</f>
        <v>25568.708333333332</v>
      </c>
      <c r="AD2" s="104">
        <f>AC2+1</f>
        <v>25568.708333333332</v>
      </c>
      <c r="AE2" s="104">
        <f>AD2+1</f>
        <v>25568.708333333332</v>
      </c>
      <c r="AF2" s="104">
        <f>AE2+1</f>
        <v>25568.708333333332</v>
      </c>
      <c r="AG2" s="104">
        <f>AF2+1</f>
        <v>25568.708333333332</v>
      </c>
      <c r="AH2" s="169" t="s">
        <v>131</v>
      </c>
      <c r="AI2" s="6"/>
      <c r="AJ2" s="170" t="s">
        <v>130</v>
      </c>
      <c r="AK2" s="103" t="s">
        <v>117</v>
      </c>
      <c r="AL2" s="101"/>
      <c r="AM2" s="5"/>
      <c r="AN2" s="101"/>
    </row>
    <row x14ac:dyDescent="0.25" r="3" customHeight="1" ht="18.75">
      <c r="A3" s="106" t="s">
        <v>1</v>
      </c>
      <c r="B3" s="107" t="s">
        <v>142</v>
      </c>
      <c r="C3" s="109">
        <v>8.01</v>
      </c>
      <c r="D3" s="109">
        <v>9.84</v>
      </c>
      <c r="E3" s="109">
        <v>13.24</v>
      </c>
      <c r="F3" s="109">
        <v>21.39</v>
      </c>
      <c r="G3" s="109">
        <v>7.66</v>
      </c>
      <c r="H3" s="109">
        <v>32.74</v>
      </c>
      <c r="I3" s="109">
        <v>17.75</v>
      </c>
      <c r="J3" s="109">
        <v>28.82</v>
      </c>
      <c r="K3" s="109">
        <v>9.81</v>
      </c>
      <c r="L3" s="109">
        <v>23.04</v>
      </c>
      <c r="M3" s="109">
        <v>17.44</v>
      </c>
      <c r="N3" s="109">
        <v>23.12</v>
      </c>
      <c r="O3" s="109">
        <v>25.42</v>
      </c>
      <c r="P3" s="109">
        <v>20.54</v>
      </c>
      <c r="Q3" s="109">
        <v>34.99</v>
      </c>
      <c r="R3" s="109">
        <v>19.91</v>
      </c>
      <c r="S3" s="109">
        <v>30.92</v>
      </c>
      <c r="T3" s="109">
        <v>43.57</v>
      </c>
      <c r="U3" s="109">
        <v>11.93</v>
      </c>
      <c r="V3" s="109">
        <v>25.14</v>
      </c>
      <c r="W3" s="109">
        <v>24.81</v>
      </c>
      <c r="X3" s="109">
        <v>22.03</v>
      </c>
      <c r="Y3" s="109">
        <v>24.31</v>
      </c>
      <c r="Z3" s="109">
        <v>19.18</v>
      </c>
      <c r="AA3" s="109">
        <v>30.38</v>
      </c>
      <c r="AB3" s="109">
        <v>29.11</v>
      </c>
      <c r="AC3" s="109">
        <v>12.63</v>
      </c>
      <c r="AD3" s="109">
        <v>30.52</v>
      </c>
      <c r="AE3" s="109">
        <v>43.53</v>
      </c>
      <c r="AF3" s="109">
        <v>13.2</v>
      </c>
      <c r="AG3" s="109"/>
      <c r="AH3" s="110">
        <f>SUM(C3:AG3)</f>
      </c>
      <c r="AI3" s="6"/>
      <c r="AJ3" s="171" t="s">
        <v>1</v>
      </c>
      <c r="AK3" s="107" t="s">
        <v>142</v>
      </c>
      <c r="AL3" s="101"/>
      <c r="AM3" s="5"/>
      <c r="AN3" s="101"/>
    </row>
    <row x14ac:dyDescent="0.25" r="4" customHeight="1" ht="18.75">
      <c r="A4" s="111" t="s">
        <v>20</v>
      </c>
      <c r="B4" s="112" t="s">
        <v>21</v>
      </c>
      <c r="C4" s="113">
        <v>1375</v>
      </c>
      <c r="D4" s="113">
        <v>1980</v>
      </c>
      <c r="E4" s="113">
        <v>1711</v>
      </c>
      <c r="F4" s="113">
        <v>1871</v>
      </c>
      <c r="G4" s="113">
        <v>1579</v>
      </c>
      <c r="H4" s="113">
        <v>2159</v>
      </c>
      <c r="I4" s="113">
        <v>1905</v>
      </c>
      <c r="J4" s="113">
        <v>3119</v>
      </c>
      <c r="K4" s="113">
        <v>2712</v>
      </c>
      <c r="L4" s="113">
        <v>2263</v>
      </c>
      <c r="M4" s="113">
        <v>2561</v>
      </c>
      <c r="N4" s="113">
        <v>2543</v>
      </c>
      <c r="O4" s="113">
        <v>2452</v>
      </c>
      <c r="P4" s="113">
        <v>1941</v>
      </c>
      <c r="Q4" s="113">
        <v>3563</v>
      </c>
      <c r="R4" s="113">
        <v>2814</v>
      </c>
      <c r="S4" s="113">
        <v>2406</v>
      </c>
      <c r="T4" s="113">
        <v>3084</v>
      </c>
      <c r="U4" s="113">
        <v>2612</v>
      </c>
      <c r="V4" s="113">
        <f>3055+21</f>
      </c>
      <c r="W4" s="113">
        <v>2851</v>
      </c>
      <c r="X4" s="113">
        <v>3312</v>
      </c>
      <c r="Y4" s="113">
        <f>2518+175</f>
      </c>
      <c r="Z4" s="113">
        <v>2536</v>
      </c>
      <c r="AA4" s="113">
        <v>2607</v>
      </c>
      <c r="AB4" s="113">
        <v>2148</v>
      </c>
      <c r="AC4" s="113">
        <v>2270</v>
      </c>
      <c r="AD4" s="113">
        <v>2863</v>
      </c>
      <c r="AE4" s="113">
        <v>2931</v>
      </c>
      <c r="AF4" s="113">
        <v>2723</v>
      </c>
      <c r="AG4" s="113"/>
      <c r="AH4" s="110">
        <f>SUM(C4:AG4)</f>
      </c>
      <c r="AI4" s="6"/>
      <c r="AJ4" s="172" t="s">
        <v>20</v>
      </c>
      <c r="AK4" s="112" t="s">
        <v>21</v>
      </c>
      <c r="AL4" s="101"/>
      <c r="AM4" s="5"/>
      <c r="AN4" s="101"/>
    </row>
    <row x14ac:dyDescent="0.25" r="5" customHeight="1" ht="18.75">
      <c r="A5" s="111" t="s">
        <v>22</v>
      </c>
      <c r="B5" s="112" t="s">
        <v>143</v>
      </c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0">
        <f>SUM(C5:AG5)</f>
      </c>
      <c r="AI5" s="6"/>
      <c r="AJ5" s="172" t="s">
        <v>22</v>
      </c>
      <c r="AK5" s="112" t="s">
        <v>143</v>
      </c>
      <c r="AL5" s="101"/>
      <c r="AM5" s="5"/>
      <c r="AN5" s="101"/>
    </row>
    <row x14ac:dyDescent="0.25" r="6" customHeight="1" ht="18.75">
      <c r="A6" s="111" t="s">
        <v>24</v>
      </c>
      <c r="B6" s="112" t="s">
        <v>144</v>
      </c>
      <c r="C6" s="114">
        <v>84.71</v>
      </c>
      <c r="D6" s="114">
        <v>104.1</v>
      </c>
      <c r="E6" s="114">
        <v>140.35</v>
      </c>
      <c r="F6" s="114">
        <v>226.12</v>
      </c>
      <c r="G6" s="114">
        <v>80.76</v>
      </c>
      <c r="H6" s="114">
        <v>346.43</v>
      </c>
      <c r="I6" s="114">
        <v>187.6</v>
      </c>
      <c r="J6" s="114">
        <v>304.83</v>
      </c>
      <c r="K6" s="114">
        <v>103.56</v>
      </c>
      <c r="L6" s="114">
        <v>241.07</v>
      </c>
      <c r="M6" s="114">
        <v>184.38</v>
      </c>
      <c r="N6" s="114">
        <v>244.63</v>
      </c>
      <c r="O6" s="114">
        <v>267.8</v>
      </c>
      <c r="P6" s="114">
        <v>217.44</v>
      </c>
      <c r="Q6" s="114">
        <v>370.12</v>
      </c>
      <c r="R6" s="114">
        <v>208.47</v>
      </c>
      <c r="S6" s="114">
        <v>327.15</v>
      </c>
      <c r="T6" s="114">
        <v>460.99</v>
      </c>
      <c r="U6" s="114">
        <v>126.13</v>
      </c>
      <c r="V6" s="114">
        <v>265.28</v>
      </c>
      <c r="W6" s="114">
        <v>262.55</v>
      </c>
      <c r="X6" s="114">
        <v>232.25</v>
      </c>
      <c r="Y6" s="114">
        <v>256.01</v>
      </c>
      <c r="Z6" s="114">
        <v>202.58</v>
      </c>
      <c r="AA6" s="114">
        <v>321.23</v>
      </c>
      <c r="AB6" s="114">
        <v>307.64</v>
      </c>
      <c r="AC6" s="114">
        <v>133.68</v>
      </c>
      <c r="AD6" s="114">
        <v>322.31</v>
      </c>
      <c r="AE6" s="114">
        <v>430.81</v>
      </c>
      <c r="AF6" s="114">
        <v>139.67</v>
      </c>
      <c r="AG6" s="114"/>
      <c r="AH6" s="110">
        <f>SUM(C6:AG6)</f>
      </c>
      <c r="AI6" s="6"/>
      <c r="AJ6" s="172" t="s">
        <v>24</v>
      </c>
      <c r="AK6" s="112" t="s">
        <v>144</v>
      </c>
      <c r="AL6" s="101"/>
      <c r="AM6" s="5"/>
      <c r="AN6" s="101"/>
    </row>
    <row x14ac:dyDescent="0.25" r="7" customHeight="1" ht="18.75">
      <c r="A7" s="111" t="s">
        <v>24</v>
      </c>
      <c r="B7" s="112" t="s">
        <v>26</v>
      </c>
      <c r="C7" s="114"/>
      <c r="D7" s="114">
        <v>1.06</v>
      </c>
      <c r="E7" s="114"/>
      <c r="F7" s="114"/>
      <c r="G7" s="114"/>
      <c r="H7" s="114">
        <v>0.53</v>
      </c>
      <c r="I7" s="114"/>
      <c r="J7" s="114"/>
      <c r="K7" s="114">
        <v>2.12</v>
      </c>
      <c r="L7" s="114"/>
      <c r="M7" s="114"/>
      <c r="N7" s="114">
        <v>2.12</v>
      </c>
      <c r="O7" s="114"/>
      <c r="P7" s="114"/>
      <c r="Q7" s="114"/>
      <c r="R7" s="114"/>
      <c r="S7" s="114">
        <v>1.06</v>
      </c>
      <c r="T7" s="114">
        <v>3.18</v>
      </c>
      <c r="U7" s="114">
        <v>4.24</v>
      </c>
      <c r="V7" s="114"/>
      <c r="W7" s="114"/>
      <c r="X7" s="114"/>
      <c r="Y7" s="114"/>
      <c r="Z7" s="114"/>
      <c r="AA7" s="114">
        <v>6.36</v>
      </c>
      <c r="AB7" s="114"/>
      <c r="AC7" s="114"/>
      <c r="AD7" s="114"/>
      <c r="AE7" s="114"/>
      <c r="AF7" s="114"/>
      <c r="AG7" s="114"/>
      <c r="AH7" s="110">
        <f>SUM(C7:AG7)</f>
      </c>
      <c r="AI7" s="6"/>
      <c r="AJ7" s="172" t="s">
        <v>24</v>
      </c>
      <c r="AK7" s="112" t="s">
        <v>26</v>
      </c>
      <c r="AL7" s="101"/>
      <c r="AM7" s="5"/>
      <c r="AN7" s="101"/>
    </row>
    <row x14ac:dyDescent="0.25" r="8" customHeight="1" ht="18.75">
      <c r="A8" s="173"/>
      <c r="B8" s="174" t="s">
        <v>145</v>
      </c>
      <c r="C8" s="175">
        <f>SUM(C3:C7)</f>
      </c>
      <c r="D8" s="175">
        <f>SUM(D3:D7)</f>
      </c>
      <c r="E8" s="175">
        <f>SUM(E3:E7)</f>
      </c>
      <c r="F8" s="175">
        <f>SUM(F3:F7)</f>
      </c>
      <c r="G8" s="175">
        <f>SUM(G3:G7)</f>
      </c>
      <c r="H8" s="175">
        <f>SUM(H3:H7)</f>
      </c>
      <c r="I8" s="175">
        <f>SUM(I3:I7)</f>
      </c>
      <c r="J8" s="175">
        <f>SUM(J3:J7)</f>
      </c>
      <c r="K8" s="175">
        <f>SUM(K3:K7)</f>
      </c>
      <c r="L8" s="175">
        <f>SUM(L3:L7)</f>
      </c>
      <c r="M8" s="175">
        <f>SUM(M3:M7)</f>
      </c>
      <c r="N8" s="175">
        <f>SUM(N3:N7)</f>
      </c>
      <c r="O8" s="175">
        <f>SUM(O3:O7)</f>
      </c>
      <c r="P8" s="175">
        <f>SUM(P3:P7)</f>
      </c>
      <c r="Q8" s="175">
        <f>SUM(Q3:Q7)</f>
      </c>
      <c r="R8" s="175">
        <f>SUM(R3:R7)</f>
      </c>
      <c r="S8" s="175">
        <f>SUM(S3:S7)</f>
      </c>
      <c r="T8" s="175">
        <f>SUM(T3:T7)</f>
      </c>
      <c r="U8" s="175">
        <f>SUM(U3:U7)</f>
      </c>
      <c r="V8" s="175">
        <f>SUM(V3:V7)</f>
      </c>
      <c r="W8" s="175">
        <f>SUM(W3:W7)</f>
      </c>
      <c r="X8" s="175">
        <f>SUM(X3:X7)</f>
      </c>
      <c r="Y8" s="175">
        <f>SUM(Y3:Y7)</f>
      </c>
      <c r="Z8" s="175">
        <f>SUM(Z3:Z7)</f>
      </c>
      <c r="AA8" s="175">
        <f>SUM(AA3:AA7)</f>
      </c>
      <c r="AB8" s="175">
        <f>SUM(AB3:AB7)</f>
      </c>
      <c r="AC8" s="175">
        <f>SUM(AC3:AC7)</f>
      </c>
      <c r="AD8" s="175">
        <f>SUM(AD3:AD7)</f>
      </c>
      <c r="AE8" s="175">
        <f>SUM(AE3:AE7)</f>
      </c>
      <c r="AF8" s="175">
        <f>SUM(AF3:AF7)</f>
      </c>
      <c r="AG8" s="175">
        <f>SUM(AG3:AG7)</f>
      </c>
      <c r="AH8" s="176">
        <f>SUM(C8:AG8)</f>
      </c>
      <c r="AI8" s="6"/>
      <c r="AJ8" s="172"/>
      <c r="AK8" s="112"/>
      <c r="AL8" s="101"/>
      <c r="AM8" s="5"/>
      <c r="AN8" s="101"/>
    </row>
    <row x14ac:dyDescent="0.25" r="9" customHeight="1" ht="18.75">
      <c r="A9" s="177" t="s">
        <v>1</v>
      </c>
      <c r="B9" s="178" t="s">
        <v>142</v>
      </c>
      <c r="C9" s="179">
        <v>14.01</v>
      </c>
      <c r="D9" s="116">
        <v>17.73</v>
      </c>
      <c r="E9" s="180">
        <v>7.51</v>
      </c>
      <c r="F9" s="180">
        <v>6.25</v>
      </c>
      <c r="G9" s="180">
        <v>17.94</v>
      </c>
      <c r="H9" s="180">
        <v>18.14</v>
      </c>
      <c r="I9" s="180">
        <v>17.87</v>
      </c>
      <c r="J9" s="180">
        <v>34.11</v>
      </c>
      <c r="K9" s="180">
        <v>28.88</v>
      </c>
      <c r="L9" s="180">
        <v>16.62</v>
      </c>
      <c r="M9" s="180">
        <v>12.04</v>
      </c>
      <c r="N9" s="180">
        <v>11.69</v>
      </c>
      <c r="O9" s="180">
        <v>27.48</v>
      </c>
      <c r="P9" s="180">
        <v>11.1</v>
      </c>
      <c r="Q9" s="180">
        <v>29.31</v>
      </c>
      <c r="R9" s="180">
        <v>20.51</v>
      </c>
      <c r="S9" s="180">
        <v>11.66</v>
      </c>
      <c r="T9" s="180">
        <v>15.43</v>
      </c>
      <c r="U9" s="180">
        <v>15.15</v>
      </c>
      <c r="V9" s="180">
        <v>23.47</v>
      </c>
      <c r="W9" s="180">
        <f>23.85-1.83</f>
      </c>
      <c r="X9" s="180">
        <v>12.23</v>
      </c>
      <c r="Y9" s="180">
        <v>30.14</v>
      </c>
      <c r="Z9" s="180">
        <v>8.87</v>
      </c>
      <c r="AA9" s="180">
        <v>14.19</v>
      </c>
      <c r="AB9" s="180">
        <v>20.83</v>
      </c>
      <c r="AC9" s="180">
        <v>21.76</v>
      </c>
      <c r="AD9" s="180">
        <v>24.97</v>
      </c>
      <c r="AE9" s="180">
        <v>16.14</v>
      </c>
      <c r="AF9" s="180">
        <v>12.53</v>
      </c>
      <c r="AG9" s="180"/>
      <c r="AH9" s="181">
        <f>SUM(C9:AG9)</f>
      </c>
      <c r="AI9" s="6"/>
      <c r="AJ9" s="182"/>
      <c r="AK9" s="183"/>
      <c r="AL9" s="101"/>
      <c r="AM9" s="5"/>
      <c r="AN9" s="101"/>
    </row>
    <row x14ac:dyDescent="0.25" r="10" customHeight="1" ht="18.75">
      <c r="A10" s="111" t="s">
        <v>20</v>
      </c>
      <c r="B10" s="112" t="s">
        <v>21</v>
      </c>
      <c r="C10" s="184">
        <v>1714</v>
      </c>
      <c r="D10" s="114">
        <v>1183</v>
      </c>
      <c r="E10" s="185">
        <v>992</v>
      </c>
      <c r="F10" s="185">
        <v>1167</v>
      </c>
      <c r="G10" s="185">
        <v>1409</v>
      </c>
      <c r="H10" s="185">
        <v>1511</v>
      </c>
      <c r="I10" s="185">
        <v>1280</v>
      </c>
      <c r="J10" s="185">
        <v>1987</v>
      </c>
      <c r="K10" s="185">
        <v>1729</v>
      </c>
      <c r="L10" s="185">
        <v>1627</v>
      </c>
      <c r="M10" s="185">
        <v>1558</v>
      </c>
      <c r="N10" s="185">
        <v>1556</v>
      </c>
      <c r="O10" s="185">
        <v>1618</v>
      </c>
      <c r="P10" s="185">
        <v>1650</v>
      </c>
      <c r="Q10" s="185">
        <v>2862</v>
      </c>
      <c r="R10" s="185">
        <v>2152</v>
      </c>
      <c r="S10" s="185">
        <v>1969</v>
      </c>
      <c r="T10" s="185">
        <v>2071</v>
      </c>
      <c r="U10" s="185">
        <v>2278</v>
      </c>
      <c r="V10" s="185">
        <v>1764</v>
      </c>
      <c r="W10" s="185">
        <v>2089</v>
      </c>
      <c r="X10" s="185">
        <v>2383</v>
      </c>
      <c r="Y10" s="185">
        <v>2687</v>
      </c>
      <c r="Z10" s="185">
        <v>1823</v>
      </c>
      <c r="AA10" s="185">
        <v>2064</v>
      </c>
      <c r="AB10" s="185">
        <v>2431</v>
      </c>
      <c r="AC10" s="185">
        <v>1846</v>
      </c>
      <c r="AD10" s="185">
        <v>1848</v>
      </c>
      <c r="AE10" s="185">
        <v>2222</v>
      </c>
      <c r="AF10" s="185">
        <v>1904</v>
      </c>
      <c r="AG10" s="185"/>
      <c r="AH10" s="186">
        <f>SUM(C10:AG10)</f>
      </c>
      <c r="AI10" s="6"/>
      <c r="AJ10" s="182"/>
      <c r="AK10" s="183"/>
      <c r="AL10" s="101"/>
      <c r="AM10" s="5"/>
      <c r="AN10" s="101"/>
    </row>
    <row x14ac:dyDescent="0.25" r="11" customHeight="1" ht="18.75">
      <c r="A11" s="111" t="s">
        <v>22</v>
      </c>
      <c r="B11" s="112" t="s">
        <v>143</v>
      </c>
      <c r="C11" s="184"/>
      <c r="D11" s="114"/>
      <c r="E11" s="185"/>
      <c r="F11" s="185"/>
      <c r="G11" s="185"/>
      <c r="H11" s="185"/>
      <c r="I11" s="185"/>
      <c r="J11" s="185"/>
      <c r="K11" s="185"/>
      <c r="L11" s="185"/>
      <c r="M11" s="185"/>
      <c r="N11" s="185">
        <v>31.94</v>
      </c>
      <c r="O11" s="185"/>
      <c r="P11" s="185"/>
      <c r="Q11" s="185"/>
      <c r="R11" s="185"/>
      <c r="S11" s="185"/>
      <c r="T11" s="185"/>
      <c r="U11" s="185"/>
      <c r="V11" s="185"/>
      <c r="W11" s="185"/>
      <c r="X11" s="185"/>
      <c r="Y11" s="185">
        <v>44</v>
      </c>
      <c r="Z11" s="185"/>
      <c r="AA11" s="185"/>
      <c r="AB11" s="185"/>
      <c r="AC11" s="185"/>
      <c r="AD11" s="185"/>
      <c r="AE11" s="185"/>
      <c r="AF11" s="185">
        <v>100</v>
      </c>
      <c r="AG11" s="185"/>
      <c r="AH11" s="186">
        <f>SUM(C11:AG11)</f>
      </c>
      <c r="AI11" s="6"/>
      <c r="AJ11" s="182"/>
      <c r="AK11" s="183"/>
      <c r="AL11" s="101"/>
      <c r="AM11" s="5"/>
      <c r="AN11" s="101"/>
    </row>
    <row x14ac:dyDescent="0.25" r="12" customHeight="1" ht="18.75">
      <c r="A12" s="111" t="s">
        <v>24</v>
      </c>
      <c r="B12" s="112" t="s">
        <v>144</v>
      </c>
      <c r="C12" s="184">
        <v>148.16</v>
      </c>
      <c r="D12" s="114">
        <v>187.26</v>
      </c>
      <c r="E12" s="185">
        <v>79.37</v>
      </c>
      <c r="F12" s="185">
        <v>65.72</v>
      </c>
      <c r="G12" s="185">
        <v>189.26</v>
      </c>
      <c r="H12" s="185">
        <v>191.35</v>
      </c>
      <c r="I12" s="185">
        <v>188.52</v>
      </c>
      <c r="J12" s="185">
        <v>360.72</v>
      </c>
      <c r="K12" s="185">
        <v>304.73</v>
      </c>
      <c r="L12" s="185">
        <v>175.3</v>
      </c>
      <c r="M12" s="185">
        <v>127.5</v>
      </c>
      <c r="N12" s="185">
        <v>123.24</v>
      </c>
      <c r="O12" s="185">
        <v>290.34</v>
      </c>
      <c r="P12" s="185">
        <v>117.17</v>
      </c>
      <c r="Q12" s="185">
        <v>309.84</v>
      </c>
      <c r="R12" s="185">
        <v>216.97</v>
      </c>
      <c r="S12" s="185">
        <v>123.05</v>
      </c>
      <c r="T12" s="185">
        <v>162.07</v>
      </c>
      <c r="U12" s="185">
        <v>160.06</v>
      </c>
      <c r="V12" s="185">
        <v>248.01</v>
      </c>
      <c r="W12" s="185">
        <f>252.19-19.4</f>
      </c>
      <c r="X12" s="185">
        <v>129.17</v>
      </c>
      <c r="Y12" s="185">
        <v>318.44</v>
      </c>
      <c r="Z12" s="185">
        <v>93.35</v>
      </c>
      <c r="AA12" s="185">
        <v>149.44</v>
      </c>
      <c r="AB12" s="185">
        <v>220.26</v>
      </c>
      <c r="AC12" s="185">
        <v>230.08</v>
      </c>
      <c r="AD12" s="185">
        <v>263.54</v>
      </c>
      <c r="AE12" s="185">
        <v>170.56</v>
      </c>
      <c r="AF12" s="185">
        <v>132.62</v>
      </c>
      <c r="AG12" s="185"/>
      <c r="AH12" s="186">
        <f>SUM(C12:AG12)</f>
      </c>
      <c r="AI12" s="6"/>
      <c r="AJ12" s="182"/>
      <c r="AK12" s="183"/>
      <c r="AL12" s="101"/>
      <c r="AM12" s="5"/>
      <c r="AN12" s="101"/>
    </row>
    <row x14ac:dyDescent="0.25" r="13" customHeight="1" ht="18.75">
      <c r="A13" s="111" t="s">
        <v>24</v>
      </c>
      <c r="B13" s="112" t="s">
        <v>26</v>
      </c>
      <c r="C13" s="184"/>
      <c r="D13" s="114"/>
      <c r="E13" s="185">
        <v>12.5</v>
      </c>
      <c r="F13" s="185"/>
      <c r="G13" s="185"/>
      <c r="H13" s="185"/>
      <c r="I13" s="185"/>
      <c r="J13" s="185"/>
      <c r="K13" s="185"/>
      <c r="L13" s="185"/>
      <c r="M13" s="185"/>
      <c r="N13" s="185">
        <v>2.12</v>
      </c>
      <c r="O13" s="185"/>
      <c r="P13" s="185"/>
      <c r="Q13" s="185">
        <v>1.06</v>
      </c>
      <c r="R13" s="185"/>
      <c r="S13" s="185"/>
      <c r="T13" s="185"/>
      <c r="U13" s="185"/>
      <c r="V13" s="185">
        <v>2.65</v>
      </c>
      <c r="W13" s="185"/>
      <c r="X13" s="185">
        <v>0.53</v>
      </c>
      <c r="Y13" s="185"/>
      <c r="Z13" s="185"/>
      <c r="AA13" s="185"/>
      <c r="AB13" s="185"/>
      <c r="AC13" s="185"/>
      <c r="AD13" s="185"/>
      <c r="AE13" s="185"/>
      <c r="AF13" s="185"/>
      <c r="AG13" s="185"/>
      <c r="AH13" s="186">
        <f>SUM(C13:AG13)</f>
      </c>
      <c r="AI13" s="6"/>
      <c r="AJ13" s="182"/>
      <c r="AK13" s="183"/>
      <c r="AL13" s="101"/>
      <c r="AM13" s="5"/>
      <c r="AN13" s="101"/>
    </row>
    <row x14ac:dyDescent="0.25" r="14" customHeight="1" ht="18.75">
      <c r="A14" s="187"/>
      <c r="B14" s="188" t="s">
        <v>146</v>
      </c>
      <c r="C14" s="189">
        <f>SUM(C9:C13)</f>
      </c>
      <c r="D14" s="189">
        <f>SUM(D9:D13)</f>
      </c>
      <c r="E14" s="189">
        <f>SUM(E9:E13)</f>
      </c>
      <c r="F14" s="189">
        <f>SUM(F9:F13)</f>
      </c>
      <c r="G14" s="189">
        <f>SUM(G9:G13)</f>
      </c>
      <c r="H14" s="189">
        <f>SUM(H9:H13)</f>
      </c>
      <c r="I14" s="189">
        <f>SUM(I9:I13)</f>
      </c>
      <c r="J14" s="189">
        <f>SUM(J9:J13)</f>
      </c>
      <c r="K14" s="189">
        <f>SUM(K9:K13)</f>
      </c>
      <c r="L14" s="189">
        <f>SUM(L9:L13)</f>
      </c>
      <c r="M14" s="189">
        <f>SUM(M9:M13)</f>
      </c>
      <c r="N14" s="189">
        <f>SUM(N9:N13)</f>
      </c>
      <c r="O14" s="189">
        <f>SUM(O9:O13)</f>
      </c>
      <c r="P14" s="189">
        <f>SUM(P9:P13)</f>
      </c>
      <c r="Q14" s="189">
        <f>SUM(Q9:Q13)</f>
      </c>
      <c r="R14" s="189">
        <f>SUM(R9:R13)</f>
      </c>
      <c r="S14" s="189">
        <f>SUM(S9:S13)</f>
      </c>
      <c r="T14" s="189">
        <f>SUM(T9:T13)</f>
      </c>
      <c r="U14" s="189">
        <f>SUM(U9:U13)</f>
      </c>
      <c r="V14" s="189">
        <f>SUM(V9:V13)</f>
      </c>
      <c r="W14" s="189">
        <f>SUM(W9:W13)</f>
      </c>
      <c r="X14" s="189">
        <f>SUM(X9:X13)</f>
      </c>
      <c r="Y14" s="189">
        <f>SUM(Y9:Y13)</f>
      </c>
      <c r="Z14" s="189">
        <f>SUM(Z9:Z13)</f>
      </c>
      <c r="AA14" s="189">
        <f>SUM(AA9:AA13)</f>
      </c>
      <c r="AB14" s="189">
        <f>SUM(AB9:AB13)</f>
      </c>
      <c r="AC14" s="189">
        <f>SUM(AC9:AC13)</f>
      </c>
      <c r="AD14" s="189">
        <f>SUM(AD9:AD13)</f>
      </c>
      <c r="AE14" s="189">
        <f>SUM(AE9:AE13)</f>
      </c>
      <c r="AF14" s="189">
        <f>SUM(AF9:AF13)</f>
      </c>
      <c r="AG14" s="189">
        <f>SUM(AG9:AG13)</f>
      </c>
      <c r="AH14" s="186">
        <f>SUM(C14:AG14)</f>
      </c>
      <c r="AI14" s="6"/>
      <c r="AJ14" s="190"/>
      <c r="AK14" s="191"/>
      <c r="AL14" s="101"/>
      <c r="AM14" s="5"/>
      <c r="AN14" s="101"/>
    </row>
    <row x14ac:dyDescent="0.25" r="15" customHeight="1" ht="18.75">
      <c r="A15" s="88"/>
      <c r="B15" s="192" t="s">
        <v>9</v>
      </c>
      <c r="C15" s="193">
        <f>SUM(C3:C7,C9:C13)</f>
      </c>
      <c r="D15" s="193">
        <f>SUM(D3:D7,D9:D13)</f>
      </c>
      <c r="E15" s="193">
        <f>SUM(E3:E7,E9:E13)</f>
      </c>
      <c r="F15" s="193">
        <f>SUM(F3:F7,F9:F13)</f>
      </c>
      <c r="G15" s="193">
        <f>SUM(G3:G7,G9:G13)</f>
      </c>
      <c r="H15" s="193">
        <f>SUM(H3:H7,H9:H13)</f>
      </c>
      <c r="I15" s="193">
        <f>SUM(I3:I7,I9:I13)</f>
      </c>
      <c r="J15" s="193">
        <f>SUM(J3:J7,J9:J13)</f>
      </c>
      <c r="K15" s="193">
        <f>SUM(K3:K7,K9:K13)</f>
      </c>
      <c r="L15" s="193">
        <f>SUM(L3:L7,L9:L13)</f>
      </c>
      <c r="M15" s="193">
        <f>SUM(M3:M7,M9:M13)</f>
      </c>
      <c r="N15" s="193">
        <f>SUM(N3:N7,N9:N13)</f>
      </c>
      <c r="O15" s="193">
        <f>SUM(O3:O7,O9:O13)</f>
      </c>
      <c r="P15" s="193">
        <f>SUM(P3:P7,P9:P13)</f>
      </c>
      <c r="Q15" s="193">
        <f>SUM(Q3:Q7,Q9:Q13)</f>
      </c>
      <c r="R15" s="193">
        <f>SUM(R3:R7,R9:R13)</f>
      </c>
      <c r="S15" s="193">
        <f>SUM(S3:S7,S9:S13)</f>
      </c>
      <c r="T15" s="193">
        <f>SUM(T3:T7,T9:T13)</f>
      </c>
      <c r="U15" s="193">
        <f>SUM(U3:U7,U9:U13)</f>
      </c>
      <c r="V15" s="193">
        <f>SUM(V3:V7,V9:V13)</f>
      </c>
      <c r="W15" s="193">
        <f>SUM(W3:W7,W9:W13)</f>
      </c>
      <c r="X15" s="193">
        <f>SUM(X3:X7,X9:X13)</f>
      </c>
      <c r="Y15" s="193">
        <f>SUM(Y3:Y7,Y9:Y13)</f>
      </c>
      <c r="Z15" s="193">
        <f>SUM(Z3:Z7,Z9:Z13)</f>
      </c>
      <c r="AA15" s="193">
        <f>SUM(AA3:AA7,AA9:AA13)</f>
      </c>
      <c r="AB15" s="193">
        <f>SUM(AB3:AB7,AB9:AB13)</f>
      </c>
      <c r="AC15" s="193">
        <f>SUM(AC3:AC7,AC9:AC13)</f>
      </c>
      <c r="AD15" s="193">
        <f>SUM(AD3:AD7,AD9:AD13)</f>
      </c>
      <c r="AE15" s="193">
        <f>SUM(AE3:AE7,AE9:AE13)</f>
      </c>
      <c r="AF15" s="193">
        <f>SUM(AF3:AF7,AF9:AF13)</f>
      </c>
      <c r="AG15" s="193">
        <f>SUM(AG3:AG7,AG9:AG13)</f>
      </c>
      <c r="AH15" s="117">
        <f>SUM(C15:AG15)</f>
      </c>
      <c r="AI15" s="6"/>
      <c r="AJ15" s="194"/>
      <c r="AK15" s="9" t="s">
        <v>9</v>
      </c>
      <c r="AL15" s="101"/>
      <c r="AM15" s="5"/>
      <c r="AN15" s="101"/>
    </row>
    <row x14ac:dyDescent="0.25" r="16" customHeight="1" ht="18.75">
      <c r="A16" s="59"/>
      <c r="B16" s="195"/>
      <c r="C16" s="196"/>
      <c r="D16" s="196"/>
      <c r="E16" s="196"/>
      <c r="F16" s="196"/>
      <c r="G16" s="196"/>
      <c r="H16" s="196"/>
      <c r="I16" s="196"/>
      <c r="J16" s="196"/>
      <c r="K16" s="196"/>
      <c r="L16" s="196"/>
      <c r="M16" s="196"/>
      <c r="N16" s="196"/>
      <c r="O16" s="196"/>
      <c r="P16" s="196"/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196"/>
      <c r="AH16" s="197"/>
      <c r="AI16" s="6"/>
      <c r="AJ16" s="198"/>
      <c r="AK16" s="195"/>
      <c r="AL16" s="101"/>
      <c r="AM16" s="5"/>
      <c r="AN16" s="101"/>
    </row>
    <row x14ac:dyDescent="0.25" r="17" customHeight="1" ht="18.75">
      <c r="A17" s="199"/>
      <c r="B17" s="200"/>
      <c r="C17" s="201"/>
      <c r="D17" s="202"/>
      <c r="E17" s="202"/>
      <c r="F17" s="202"/>
      <c r="G17" s="202"/>
      <c r="H17" s="202"/>
      <c r="I17" s="202"/>
      <c r="J17" s="202"/>
      <c r="K17" s="202"/>
      <c r="L17" s="202"/>
      <c r="M17" s="202"/>
      <c r="N17" s="202"/>
      <c r="O17" s="202"/>
      <c r="P17" s="202"/>
      <c r="Q17" s="202"/>
      <c r="R17" s="202"/>
      <c r="S17" s="202"/>
      <c r="T17" s="202"/>
      <c r="U17" s="202"/>
      <c r="V17" s="202"/>
      <c r="W17" s="202"/>
      <c r="X17" s="202"/>
      <c r="Y17" s="202"/>
      <c r="Z17" s="202"/>
      <c r="AA17" s="202"/>
      <c r="AB17" s="202"/>
      <c r="AC17" s="202"/>
      <c r="AD17" s="202"/>
      <c r="AE17" s="202"/>
      <c r="AF17" s="202"/>
      <c r="AG17" s="202"/>
      <c r="AH17" s="203"/>
      <c r="AI17" s="6"/>
      <c r="AJ17" s="204" t="s">
        <v>147</v>
      </c>
      <c r="AK17" s="205"/>
      <c r="AL17" s="206"/>
      <c r="AM17" s="207"/>
      <c r="AN17" s="101"/>
    </row>
    <row x14ac:dyDescent="0.25" r="18" customHeight="1" ht="18.75">
      <c r="A18" s="208">
        <f>'[1]TEMP Summary'!A12</f>
      </c>
      <c r="B18" s="209" t="s">
        <v>148</v>
      </c>
      <c r="C18" s="210">
        <v>512.75</v>
      </c>
      <c r="D18" s="116">
        <v>673.1</v>
      </c>
      <c r="E18" s="116">
        <v>483.75</v>
      </c>
      <c r="F18" s="116">
        <v>701.41</v>
      </c>
      <c r="G18" s="116">
        <v>567.42</v>
      </c>
      <c r="H18" s="116">
        <v>700.96</v>
      </c>
      <c r="I18" s="116">
        <v>763.59</v>
      </c>
      <c r="J18" s="116">
        <v>889.55</v>
      </c>
      <c r="K18" s="116">
        <v>939.23</v>
      </c>
      <c r="L18" s="116">
        <v>804.22</v>
      </c>
      <c r="M18" s="116">
        <v>786.17</v>
      </c>
      <c r="N18" s="116">
        <v>918.58</v>
      </c>
      <c r="O18" s="116">
        <v>1036.24</v>
      </c>
      <c r="P18" s="116">
        <v>514.97</v>
      </c>
      <c r="Q18" s="116">
        <v>1221.04</v>
      </c>
      <c r="R18" s="116">
        <v>769.1</v>
      </c>
      <c r="S18" s="116">
        <v>713.86</v>
      </c>
      <c r="T18" s="116">
        <v>959.31</v>
      </c>
      <c r="U18" s="116">
        <v>666.22</v>
      </c>
      <c r="V18" s="116">
        <v>859.61</v>
      </c>
      <c r="W18" s="116">
        <v>1028.95</v>
      </c>
      <c r="X18" s="116">
        <v>990.04</v>
      </c>
      <c r="Y18" s="116">
        <f>722.05+175</f>
      </c>
      <c r="Z18" s="116">
        <v>991.56</v>
      </c>
      <c r="AA18" s="116">
        <v>892.76</v>
      </c>
      <c r="AB18" s="116">
        <v>886.68</v>
      </c>
      <c r="AC18" s="116">
        <v>571.99</v>
      </c>
      <c r="AD18" s="211">
        <v>814</v>
      </c>
      <c r="AE18" s="211">
        <v>875.51</v>
      </c>
      <c r="AF18" s="211">
        <v>824.54</v>
      </c>
      <c r="AG18" s="212"/>
      <c r="AH18" s="213">
        <f>SUM(C18:AG18)</f>
      </c>
      <c r="AI18" s="6"/>
      <c r="AJ18" s="214" t="s">
        <v>130</v>
      </c>
      <c r="AK18" s="128" t="s">
        <v>117</v>
      </c>
      <c r="AL18" s="129" t="s">
        <v>132</v>
      </c>
      <c r="AM18" s="130" t="s">
        <v>133</v>
      </c>
      <c r="AN18" s="101"/>
    </row>
    <row x14ac:dyDescent="0.25" r="19" customHeight="1" ht="18.75">
      <c r="A19" s="215">
        <f>'[1]TEMP Summary'!A13</f>
      </c>
      <c r="B19" s="216" t="s">
        <v>149</v>
      </c>
      <c r="C19" s="217">
        <v>509.78</v>
      </c>
      <c r="D19" s="114">
        <v>438.31</v>
      </c>
      <c r="E19" s="114">
        <v>421.69</v>
      </c>
      <c r="F19" s="114">
        <v>447.95</v>
      </c>
      <c r="G19" s="114">
        <v>439.24</v>
      </c>
      <c r="H19" s="114">
        <v>531.49</v>
      </c>
      <c r="I19" s="114">
        <v>620.28</v>
      </c>
      <c r="J19" s="114">
        <v>727.44</v>
      </c>
      <c r="K19" s="114">
        <v>657.62</v>
      </c>
      <c r="L19" s="114">
        <v>615.95</v>
      </c>
      <c r="M19" s="114">
        <v>486.54</v>
      </c>
      <c r="N19" s="114">
        <v>588.74</v>
      </c>
      <c r="O19" s="114">
        <v>460.1</v>
      </c>
      <c r="P19" s="114">
        <v>466</v>
      </c>
      <c r="Q19" s="114">
        <v>1033.93</v>
      </c>
      <c r="R19" s="114">
        <v>614.3</v>
      </c>
      <c r="S19" s="114">
        <v>702.53</v>
      </c>
      <c r="T19" s="114">
        <v>592.87</v>
      </c>
      <c r="U19" s="114">
        <v>774.57</v>
      </c>
      <c r="V19" s="114">
        <v>637.12</v>
      </c>
      <c r="W19" s="114">
        <v>521.05</v>
      </c>
      <c r="X19" s="114">
        <v>882.96</v>
      </c>
      <c r="Y19" s="114">
        <v>1051.32</v>
      </c>
      <c r="Z19" s="114">
        <v>581.69</v>
      </c>
      <c r="AA19" s="114">
        <v>705.66</v>
      </c>
      <c r="AB19" s="114">
        <v>678.18</v>
      </c>
      <c r="AC19" s="114">
        <v>530.48</v>
      </c>
      <c r="AD19" s="218">
        <v>635.27</v>
      </c>
      <c r="AE19" s="218">
        <v>697.73</v>
      </c>
      <c r="AF19" s="218">
        <v>627.68</v>
      </c>
      <c r="AG19" s="219"/>
      <c r="AH19" s="220">
        <f>SUM(C19:AG19)</f>
      </c>
      <c r="AI19" s="6"/>
      <c r="AJ19" s="221"/>
      <c r="AK19" s="222"/>
      <c r="AL19" s="223"/>
      <c r="AM19" s="224"/>
      <c r="AN19" s="101"/>
    </row>
    <row x14ac:dyDescent="0.25" r="20" customHeight="1" ht="18.75">
      <c r="A20" s="215">
        <f>'[1]TEMP Summary'!A14</f>
      </c>
      <c r="B20" s="216" t="s">
        <v>150</v>
      </c>
      <c r="C20" s="217">
        <v>954.97</v>
      </c>
      <c r="D20" s="114">
        <v>1421.9</v>
      </c>
      <c r="E20" s="114">
        <v>1380.84</v>
      </c>
      <c r="F20" s="114">
        <v>1417.1</v>
      </c>
      <c r="G20" s="114">
        <v>1100</v>
      </c>
      <c r="H20" s="114">
        <v>1837.74</v>
      </c>
      <c r="I20" s="114">
        <v>1346.76</v>
      </c>
      <c r="J20" s="114">
        <v>2563.1</v>
      </c>
      <c r="K20" s="114">
        <v>1926.26</v>
      </c>
      <c r="L20" s="114">
        <v>1722.89</v>
      </c>
      <c r="M20" s="114">
        <v>1976.65</v>
      </c>
      <c r="N20" s="114">
        <v>1894.29</v>
      </c>
      <c r="O20" s="114">
        <v>1708.98</v>
      </c>
      <c r="P20" s="114">
        <v>1650.01</v>
      </c>
      <c r="Q20" s="114">
        <v>2747.07</v>
      </c>
      <c r="R20" s="114">
        <v>2273.28</v>
      </c>
      <c r="S20" s="114">
        <v>2051.27</v>
      </c>
      <c r="T20" s="114">
        <v>2632.43</v>
      </c>
      <c r="U20" s="114">
        <v>2088.08</v>
      </c>
      <c r="V20" s="114">
        <v>2485.81</v>
      </c>
      <c r="W20" s="114">
        <v>2109.41</v>
      </c>
      <c r="X20" s="114">
        <v>2576.24</v>
      </c>
      <c r="Y20" s="114">
        <v>2076.27</v>
      </c>
      <c r="Z20" s="218">
        <v>1766.2</v>
      </c>
      <c r="AA20" s="218">
        <v>2072.21</v>
      </c>
      <c r="AB20" s="218">
        <v>1603.07</v>
      </c>
      <c r="AC20" s="218">
        <v>1844.37</v>
      </c>
      <c r="AD20" s="218">
        <v>2401.83</v>
      </c>
      <c r="AE20" s="218">
        <v>2529.83</v>
      </c>
      <c r="AF20" s="218">
        <v>2051.33</v>
      </c>
      <c r="AG20" s="219"/>
      <c r="AH20" s="220">
        <f>SUM(C20:AG20)</f>
      </c>
      <c r="AI20" s="6"/>
      <c r="AJ20" s="225" t="s">
        <v>10</v>
      </c>
      <c r="AK20" s="9" t="s">
        <v>134</v>
      </c>
      <c r="AL20" s="226">
        <f>SUM(C18:AC19)</f>
      </c>
      <c r="AM20" s="227">
        <f>SUM(AD18:AG19)</f>
      </c>
      <c r="AN20" s="101"/>
    </row>
    <row x14ac:dyDescent="0.25" r="21" customHeight="1" ht="18.75">
      <c r="A21" s="215">
        <f>'[1]TEMP Summary'!A15</f>
      </c>
      <c r="B21" s="216" t="s">
        <v>151</v>
      </c>
      <c r="C21" s="217">
        <v>1366.39</v>
      </c>
      <c r="D21" s="114">
        <v>949.78</v>
      </c>
      <c r="E21" s="114">
        <v>669.69</v>
      </c>
      <c r="F21" s="114">
        <v>791.02</v>
      </c>
      <c r="G21" s="114">
        <v>1176.96</v>
      </c>
      <c r="H21" s="114">
        <v>1189</v>
      </c>
      <c r="I21" s="114">
        <v>866.11</v>
      </c>
      <c r="J21" s="114">
        <v>1654.39</v>
      </c>
      <c r="K21" s="114">
        <v>1404.99</v>
      </c>
      <c r="L21" s="114">
        <v>1182.97</v>
      </c>
      <c r="M21" s="114">
        <v>1211</v>
      </c>
      <c r="N21" s="114">
        <v>1136.25</v>
      </c>
      <c r="O21" s="114">
        <v>1475.72</v>
      </c>
      <c r="P21" s="114">
        <v>1311.54</v>
      </c>
      <c r="Q21" s="114">
        <v>2168.28</v>
      </c>
      <c r="R21" s="114">
        <v>1775.18</v>
      </c>
      <c r="S21" s="114">
        <v>1401.13</v>
      </c>
      <c r="T21" s="114">
        <v>1655.52</v>
      </c>
      <c r="U21" s="114">
        <v>1678.64</v>
      </c>
      <c r="V21" s="114">
        <v>1401.01</v>
      </c>
      <c r="W21" s="114">
        <v>1831.99</v>
      </c>
      <c r="X21" s="114">
        <v>1641.97</v>
      </c>
      <c r="Y21" s="114">
        <v>2028.26</v>
      </c>
      <c r="Z21" s="218">
        <v>1343.53</v>
      </c>
      <c r="AA21" s="218">
        <v>1521.97</v>
      </c>
      <c r="AB21" s="218">
        <v>1993.91</v>
      </c>
      <c r="AC21" s="218">
        <v>1567.36</v>
      </c>
      <c r="AD21" s="218">
        <v>1501.24</v>
      </c>
      <c r="AE21" s="218">
        <v>1710.97</v>
      </c>
      <c r="AF21" s="218">
        <v>1521.47</v>
      </c>
      <c r="AG21" s="219"/>
      <c r="AH21" s="220">
        <f>SUM(C21:AG21)</f>
      </c>
      <c r="AI21" s="6"/>
      <c r="AJ21" s="228" t="s">
        <v>10</v>
      </c>
      <c r="AK21" s="12" t="s">
        <v>152</v>
      </c>
      <c r="AL21" s="139">
        <f>SUM(C20:Y21)-AL29</f>
      </c>
      <c r="AM21" s="65">
        <f>SUM(Z20:AG21)-AM29</f>
      </c>
      <c r="AN21" s="101"/>
    </row>
    <row x14ac:dyDescent="0.25" r="22" customHeight="1" ht="18.75">
      <c r="A22" s="11" t="s">
        <v>10</v>
      </c>
      <c r="B22" s="229" t="s">
        <v>153</v>
      </c>
      <c r="C22" s="230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>
        <v>21</v>
      </c>
      <c r="W22" s="185"/>
      <c r="X22" s="185"/>
      <c r="Y22" s="185"/>
      <c r="Z22" s="185"/>
      <c r="AA22" s="185"/>
      <c r="AB22" s="185"/>
      <c r="AC22" s="185"/>
      <c r="AD22" s="185"/>
      <c r="AE22" s="185"/>
      <c r="AF22" s="231"/>
      <c r="AG22" s="232"/>
      <c r="AH22" s="220">
        <f>SUM(C22:AG22)</f>
      </c>
      <c r="AI22" s="6"/>
      <c r="AJ22" s="233" t="s">
        <v>10</v>
      </c>
      <c r="AK22" s="75" t="s">
        <v>154</v>
      </c>
      <c r="AL22" s="234">
        <f>SUM(C22:AE23)</f>
      </c>
      <c r="AM22" s="235">
        <f>SUM(AF22:AG23)</f>
      </c>
      <c r="AN22" s="101"/>
    </row>
    <row x14ac:dyDescent="0.25" r="23" customHeight="1" ht="18.75">
      <c r="A23" s="53" t="s">
        <v>10</v>
      </c>
      <c r="B23" s="236" t="s">
        <v>155</v>
      </c>
      <c r="C23" s="237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8"/>
      <c r="AF23" s="239"/>
      <c r="AG23" s="240"/>
      <c r="AH23" s="241">
        <f>SUM(C23:AG23)</f>
      </c>
      <c r="AI23" s="6"/>
      <c r="AJ23" s="233"/>
      <c r="AK23" s="75"/>
      <c r="AL23" s="234"/>
      <c r="AM23" s="235"/>
      <c r="AN23" s="101"/>
    </row>
    <row x14ac:dyDescent="0.25" r="24" customHeight="1" ht="18.75">
      <c r="A24" s="242"/>
      <c r="B24" s="243" t="s">
        <v>17</v>
      </c>
      <c r="C24" s="244">
        <f>SUM(C18:C23)</f>
      </c>
      <c r="D24" s="245">
        <f>SUM(D18:D23)</f>
      </c>
      <c r="E24" s="245">
        <f>SUM(E18:E23)</f>
      </c>
      <c r="F24" s="245">
        <f>SUM(F18:F23)</f>
      </c>
      <c r="G24" s="245">
        <f>SUM(G18:G23)</f>
      </c>
      <c r="H24" s="245">
        <f>SUM(H18:H23)</f>
      </c>
      <c r="I24" s="245">
        <f>SUM(I18:I23)</f>
      </c>
      <c r="J24" s="245">
        <f>SUM(J18:J23)</f>
      </c>
      <c r="K24" s="245">
        <f>SUM(K18:K23)</f>
      </c>
      <c r="L24" s="245">
        <f>SUM(L18:L23)</f>
      </c>
      <c r="M24" s="245">
        <f>SUM(M18:M23)</f>
      </c>
      <c r="N24" s="245">
        <f>SUM(N18:N23)</f>
      </c>
      <c r="O24" s="245">
        <f>SUM(O18:O23)</f>
      </c>
      <c r="P24" s="245">
        <f>SUM(P18:P23)</f>
      </c>
      <c r="Q24" s="245">
        <f>SUM(Q18:Q23)</f>
      </c>
      <c r="R24" s="245">
        <f>SUM(R18:R23)</f>
      </c>
      <c r="S24" s="245">
        <f>SUM(S18:S23)</f>
      </c>
      <c r="T24" s="245">
        <f>SUM(T18:T23)</f>
      </c>
      <c r="U24" s="245">
        <f>SUM(U18:U23)</f>
      </c>
      <c r="V24" s="245">
        <f>SUM(V18:V23)</f>
      </c>
      <c r="W24" s="245">
        <f>SUM(W18:W23)</f>
      </c>
      <c r="X24" s="245">
        <f>SUM(X18:X23)</f>
      </c>
      <c r="Y24" s="245">
        <f>SUM(Y18:Y23)</f>
      </c>
      <c r="Z24" s="245">
        <f>SUM(Z18:Z23)</f>
      </c>
      <c r="AA24" s="245">
        <f>SUM(AA18:AA23)</f>
      </c>
      <c r="AB24" s="245">
        <f>SUM(AB18:AB23)</f>
      </c>
      <c r="AC24" s="245">
        <f>SUM(AC18:AC23)</f>
      </c>
      <c r="AD24" s="245">
        <f>SUM(AD18:AD23)</f>
      </c>
      <c r="AE24" s="245">
        <f>SUM(AE18:AE23)</f>
      </c>
      <c r="AF24" s="245">
        <f>SUM(AF18:AF23)</f>
      </c>
      <c r="AG24" s="246">
        <f>SUM(AG18:AG23)</f>
      </c>
      <c r="AH24" s="247">
        <f>SUM(C24:AG24)</f>
      </c>
      <c r="AI24" s="6"/>
      <c r="AJ24" s="248" t="s">
        <v>27</v>
      </c>
      <c r="AK24" s="54" t="s">
        <v>138</v>
      </c>
      <c r="AL24" s="234">
        <f>SUM(AH26:AH27)</f>
      </c>
      <c r="AM24" s="235"/>
      <c r="AN24" s="101" t="s">
        <v>156</v>
      </c>
    </row>
    <row x14ac:dyDescent="0.25" r="25" customHeight="1" ht="18.75">
      <c r="A25" s="147"/>
      <c r="B25" s="148"/>
      <c r="C25" s="1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249"/>
      <c r="Y25" s="249"/>
      <c r="Z25" s="249"/>
      <c r="AA25" s="249"/>
      <c r="AB25" s="249"/>
      <c r="AC25" s="249"/>
      <c r="AD25" s="249"/>
      <c r="AE25" s="249"/>
      <c r="AF25" s="249"/>
      <c r="AG25" s="249"/>
      <c r="AH25" s="250"/>
      <c r="AI25" s="6"/>
      <c r="AJ25" s="251" t="s">
        <v>44</v>
      </c>
      <c r="AK25" s="252"/>
      <c r="AL25" s="253">
        <f>SUM(AL20:AM24)</f>
      </c>
      <c r="AM25" s="254"/>
      <c r="AN25" s="21">
        <f>AL25-(AH24+AH26+AH27-AH29)</f>
      </c>
    </row>
    <row x14ac:dyDescent="0.25" r="26" customHeight="1" ht="18.75">
      <c r="A26" s="255"/>
      <c r="B26" s="192" t="s">
        <v>157</v>
      </c>
      <c r="C26" s="193">
        <f>SUM(C3:C7)-(C18+C20+C22)</f>
      </c>
      <c r="D26" s="193">
        <f>SUM(D3:D7)-(D18+D20+D22)</f>
      </c>
      <c r="E26" s="193">
        <f>SUM(E3:E7)-(E18+E20+E22)</f>
      </c>
      <c r="F26" s="193">
        <f>SUM(F3:F7)-(F18+F20+F22)</f>
      </c>
      <c r="G26" s="193">
        <f>SUM(G3:G7)-(G18+G20+G22)</f>
      </c>
      <c r="H26" s="193">
        <f>SUM(H3:H7)-(H18+H20+H22)</f>
      </c>
      <c r="I26" s="193">
        <f>SUM(I3:I7)-(I18+I20+I22)</f>
      </c>
      <c r="J26" s="193">
        <f>SUM(J3:J7)-(J18+J20+J22)</f>
      </c>
      <c r="K26" s="193">
        <f>SUM(K3:K7)-(K18+K20+K22)</f>
      </c>
      <c r="L26" s="193">
        <f>SUM(L3:L7)-(L18+L20+L22)</f>
      </c>
      <c r="M26" s="193">
        <f>SUM(M3:M7)-(M18+M20+M22)</f>
      </c>
      <c r="N26" s="193">
        <f>SUM(N3:N7)-(N18+N20+N22)</f>
      </c>
      <c r="O26" s="193">
        <f>SUM(O3:O7)-(O18+O20+O22)</f>
      </c>
      <c r="P26" s="193">
        <f>SUM(P3:P7)-(P18+P20+P22)</f>
      </c>
      <c r="Q26" s="193">
        <f>SUM(Q3:Q7)-(Q18+Q20+Q22)</f>
      </c>
      <c r="R26" s="193">
        <f>SUM(R3:R7)-(R18+R20+R22)</f>
      </c>
      <c r="S26" s="193">
        <f>SUM(S3:S7)-(S18+S20+S22)</f>
      </c>
      <c r="T26" s="193">
        <f>SUM(T3:T7)-(T18+T20+T22)</f>
      </c>
      <c r="U26" s="193">
        <f>SUM(U3:U7)-(U18+U20+U22)</f>
      </c>
      <c r="V26" s="193">
        <f>SUM(V3:V7)-(V18+V20+V22)</f>
      </c>
      <c r="W26" s="193">
        <f>SUM(W3:W7)-(W18+W20+W22)</f>
      </c>
      <c r="X26" s="193">
        <f>SUM(X3:X7)-(X18+X20+X22)</f>
      </c>
      <c r="Y26" s="193">
        <f>SUM(Y3:Y7)-(Y18+Y20+Y22)</f>
      </c>
      <c r="Z26" s="193">
        <f>SUM(Z3:Z7)-(Z18+Z20+Z22)</f>
      </c>
      <c r="AA26" s="193">
        <f>SUM(AA3:AA7)-(AA18+AA20+AA22)</f>
      </c>
      <c r="AB26" s="193">
        <f>SUM(AB3:AB7)-(AB18+AB20+AB22)</f>
      </c>
      <c r="AC26" s="193">
        <f>SUM(AC3:AC7)-(AC18+AC20+AC22)</f>
      </c>
      <c r="AD26" s="193">
        <f>SUM(AD3:AD7)-(AD18+AD20+AD22)</f>
      </c>
      <c r="AE26" s="193">
        <f>SUM(AE3:AE7)-(AE18+AE20+AE22)</f>
      </c>
      <c r="AF26" s="193">
        <f>SUM(AF3:AF7)-(AF18+AF20+AF22)</f>
      </c>
      <c r="AG26" s="193">
        <f>SUM(AG3:AG7)-(AG18+AG20+AG22)</f>
      </c>
      <c r="AH26" s="133">
        <f>SUM(C26:AG26)</f>
      </c>
      <c r="AI26" s="6"/>
      <c r="AJ26" s="28"/>
      <c r="AK26" s="6"/>
      <c r="AL26" s="101"/>
      <c r="AM26" s="5"/>
      <c r="AN26" s="101"/>
    </row>
    <row x14ac:dyDescent="0.25" r="27" customHeight="1" ht="18.75">
      <c r="A27" s="256"/>
      <c r="B27" s="15" t="s">
        <v>158</v>
      </c>
      <c r="C27" s="257">
        <f>SUM(C9:C13)-(C19+C21+C23)</f>
      </c>
      <c r="D27" s="257">
        <f>SUM(D9:D13)-(D19+D21+D23)</f>
      </c>
      <c r="E27" s="257">
        <f>SUM(E9:E13)-(E19+E21+E23)</f>
      </c>
      <c r="F27" s="257">
        <f>SUM(F9:F13)-(F19+F21+F23)</f>
      </c>
      <c r="G27" s="257">
        <f>SUM(G9:G13)-(G19+G21+G23)</f>
      </c>
      <c r="H27" s="257">
        <f>SUM(H9:H13)-(H19+H21+H23)</f>
      </c>
      <c r="I27" s="257">
        <f>SUM(I9:I13)-(I19+I21+I23)</f>
      </c>
      <c r="J27" s="257">
        <f>SUM(J9:J13)-(J19+J21+J23)</f>
      </c>
      <c r="K27" s="257">
        <f>SUM(K9:K13)-(K19+K21+K23)</f>
      </c>
      <c r="L27" s="257">
        <f>SUM(L9:L13)-(L19+L21+L23)</f>
      </c>
      <c r="M27" s="257">
        <f>SUM(M9:M13)-(M19+M21+M23)</f>
      </c>
      <c r="N27" s="257">
        <f>SUM(N9:N13)-(N19+N21+N23)</f>
      </c>
      <c r="O27" s="257">
        <f>SUM(O9:O13)-(O19+O21+O23)</f>
      </c>
      <c r="P27" s="257">
        <f>SUM(P9:P13)-(P19+P21+P23)</f>
      </c>
      <c r="Q27" s="257">
        <f>SUM(Q9:Q13)-(Q19+Q21+Q23)</f>
      </c>
      <c r="R27" s="257">
        <f>SUM(R9:R13)-(R19+R21+R23)</f>
      </c>
      <c r="S27" s="257">
        <f>SUM(S9:S13)-(S19+S21+S23)</f>
      </c>
      <c r="T27" s="257">
        <f>SUM(T9:T13)-(T19+T21+T23)</f>
      </c>
      <c r="U27" s="257">
        <f>SUM(U9:U13)-(U19+U21+U23)</f>
      </c>
      <c r="V27" s="257">
        <f>SUM(V9:V13)-(V19+V21+V23)</f>
      </c>
      <c r="W27" s="257">
        <f>SUM(W9:W13)-(W19+W21+W23)</f>
      </c>
      <c r="X27" s="257">
        <f>SUM(X9:X13)-(X19+X21+X23)</f>
      </c>
      <c r="Y27" s="257">
        <f>SUM(Y9:Y13)-(Y19+Y21+Y23)</f>
      </c>
      <c r="Z27" s="257">
        <f>SUM(Z9:Z13)-(Z19+Z21+Z23)</f>
      </c>
      <c r="AA27" s="257">
        <f>SUM(AA9:AA13)-(AA19+AA21+AA23)</f>
      </c>
      <c r="AB27" s="257">
        <f>SUM(AB9:AB13)-(AB19+AB21+AB23)</f>
      </c>
      <c r="AC27" s="257">
        <f>SUM(AC9:AC13)-(AC19+AC21+AC23)</f>
      </c>
      <c r="AD27" s="257">
        <f>SUM(AD9:AD13)-(AD19+AD21+AD23)</f>
      </c>
      <c r="AE27" s="257">
        <f>SUM(AE9:AE13)-(AE19+AE21+AE23)</f>
      </c>
      <c r="AF27" s="257">
        <f>SUM(AF9:AF13)-(AF19+AF21+AF23)</f>
      </c>
      <c r="AG27" s="257">
        <f>SUM(AG9:AG13)-(AG19+AG21+AG23)</f>
      </c>
      <c r="AH27" s="258">
        <f>SUM(C27:AG27)</f>
      </c>
      <c r="AI27" s="6"/>
      <c r="AJ27" s="28"/>
      <c r="AK27" s="6"/>
      <c r="AL27" s="101"/>
      <c r="AM27" s="5"/>
      <c r="AN27" s="101"/>
    </row>
    <row x14ac:dyDescent="0.25" r="28" customHeight="1" ht="18.75">
      <c r="A28" s="118"/>
      <c r="B28" s="118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162"/>
      <c r="W28" s="162"/>
      <c r="X28" s="162"/>
      <c r="Y28" s="162"/>
      <c r="Z28" s="162"/>
      <c r="AA28" s="162"/>
      <c r="AB28" s="162"/>
      <c r="AC28" s="162"/>
      <c r="AD28" s="162"/>
      <c r="AE28" s="162"/>
      <c r="AF28" s="162"/>
      <c r="AG28" s="162"/>
      <c r="AH28" s="259"/>
      <c r="AI28" s="6"/>
      <c r="AJ28" s="28"/>
      <c r="AK28" s="6"/>
      <c r="AL28" s="101"/>
      <c r="AM28" s="5"/>
      <c r="AN28" s="101"/>
    </row>
    <row x14ac:dyDescent="0.25" r="29" customHeight="1" ht="18.75">
      <c r="A29" s="260" t="s">
        <v>35</v>
      </c>
      <c r="B29" s="261" t="s">
        <v>140</v>
      </c>
      <c r="C29" s="262">
        <v>72.48</v>
      </c>
      <c r="D29" s="262">
        <v>74.06</v>
      </c>
      <c r="E29" s="262">
        <v>64.05</v>
      </c>
      <c r="F29" s="262">
        <v>68.92</v>
      </c>
      <c r="G29" s="262">
        <v>71.66</v>
      </c>
      <c r="H29" s="262">
        <v>95.37</v>
      </c>
      <c r="I29" s="262">
        <v>69.1</v>
      </c>
      <c r="J29" s="262">
        <v>131.78</v>
      </c>
      <c r="K29" s="262">
        <v>104.09</v>
      </c>
      <c r="L29" s="262">
        <v>90.76</v>
      </c>
      <c r="M29" s="262">
        <v>99.47</v>
      </c>
      <c r="N29" s="262">
        <v>94.67</v>
      </c>
      <c r="O29" s="262">
        <v>99.4</v>
      </c>
      <c r="P29" s="262">
        <v>92.51</v>
      </c>
      <c r="Q29" s="262">
        <v>153.55</v>
      </c>
      <c r="R29" s="262">
        <v>126.81</v>
      </c>
      <c r="S29" s="262">
        <v>108.54</v>
      </c>
      <c r="T29" s="262">
        <v>133.9</v>
      </c>
      <c r="U29" s="262">
        <v>117.71</v>
      </c>
      <c r="V29" s="262">
        <v>121.37</v>
      </c>
      <c r="W29" s="262">
        <v>123.05</v>
      </c>
      <c r="X29" s="262">
        <v>131.85</v>
      </c>
      <c r="Y29" s="262">
        <v>128.2</v>
      </c>
      <c r="Z29" s="263">
        <v>97.09</v>
      </c>
      <c r="AA29" s="263">
        <v>112.09</v>
      </c>
      <c r="AB29" s="263">
        <v>112.31</v>
      </c>
      <c r="AC29" s="263">
        <v>106.54</v>
      </c>
      <c r="AD29" s="263">
        <v>121.87</v>
      </c>
      <c r="AE29" s="263">
        <v>132.46</v>
      </c>
      <c r="AF29" s="263">
        <v>111.6</v>
      </c>
      <c r="AG29" s="263"/>
      <c r="AH29" s="264">
        <f>SUM(C29:AG29)</f>
      </c>
      <c r="AI29" s="6"/>
      <c r="AJ29" s="265" t="s">
        <v>35</v>
      </c>
      <c r="AK29" s="156" t="s">
        <v>108</v>
      </c>
      <c r="AL29" s="157">
        <f>SUM(C29:Y29)</f>
      </c>
      <c r="AM29" s="158">
        <f>SUM(Z29:AG29)</f>
      </c>
      <c r="AN29" s="101"/>
    </row>
    <row x14ac:dyDescent="0.25" r="30" customHeight="1" ht="18.75">
      <c r="A30" s="6"/>
      <c r="B30" s="195" t="s">
        <v>141</v>
      </c>
      <c r="C30" s="196">
        <f>C20+C21-C29</f>
      </c>
      <c r="D30" s="196">
        <f>D20+D21-D29</f>
      </c>
      <c r="E30" s="196">
        <f>E20+E21-E29</f>
      </c>
      <c r="F30" s="196">
        <f>F20+F21-F29</f>
      </c>
      <c r="G30" s="196">
        <f>G20+G21-G29</f>
      </c>
      <c r="H30" s="196">
        <f>H20+H21-H29</f>
      </c>
      <c r="I30" s="196">
        <f>I20+I21-I29</f>
      </c>
      <c r="J30" s="196">
        <f>J20+J21-J29</f>
      </c>
      <c r="K30" s="196">
        <f>K20+K21-K29</f>
      </c>
      <c r="L30" s="196">
        <f>L20+L21-L29</f>
      </c>
      <c r="M30" s="196">
        <f>M20+M21-M29</f>
      </c>
      <c r="N30" s="196">
        <f>N20+N21-N29</f>
      </c>
      <c r="O30" s="196">
        <f>O20+O21-O29</f>
      </c>
      <c r="P30" s="196">
        <f>P20+P21-P29</f>
      </c>
      <c r="Q30" s="196">
        <f>Q20+Q21-Q29</f>
      </c>
      <c r="R30" s="196">
        <f>R20+R21-R29</f>
      </c>
      <c r="S30" s="196">
        <f>S20+S21-S29</f>
      </c>
      <c r="T30" s="196">
        <f>T20+T21-T29</f>
      </c>
      <c r="U30" s="196">
        <f>U20+U21-U29</f>
      </c>
      <c r="V30" s="196">
        <f>V20+V21-V29</f>
      </c>
      <c r="W30" s="196">
        <f>W20+W21-W29</f>
      </c>
      <c r="X30" s="196">
        <f>X20+X21-X29</f>
      </c>
      <c r="Y30" s="196">
        <f>Y20+Y21-Y29</f>
      </c>
      <c r="Z30" s="196">
        <f>Z20+Z21-Z29</f>
      </c>
      <c r="AA30" s="196">
        <f>AA20+AA21-AA29</f>
      </c>
      <c r="AB30" s="196">
        <f>AB20+AB21-AB29</f>
      </c>
      <c r="AC30" s="196">
        <f>AC20+AC21-AC29</f>
      </c>
      <c r="AD30" s="196">
        <f>AD20+AD21-AD29</f>
      </c>
      <c r="AE30" s="196">
        <f>AE20+AE21-AE29</f>
      </c>
      <c r="AF30" s="196">
        <f>AF20+AF21-AF29</f>
      </c>
      <c r="AG30" s="196">
        <f>AG20+AG64-AG29</f>
      </c>
      <c r="AH30" s="266"/>
      <c r="AI30" s="6"/>
      <c r="AJ30" s="28"/>
      <c r="AK30" s="6"/>
      <c r="AL30" s="101"/>
      <c r="AM30" s="5"/>
      <c r="AN30" s="101"/>
    </row>
    <row x14ac:dyDescent="0.25" r="31" customHeight="1" ht="18.75">
      <c r="A31" s="267"/>
      <c r="B31" s="268" t="s">
        <v>37</v>
      </c>
      <c r="C31" s="269"/>
      <c r="D31" s="269"/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69"/>
      <c r="P31" s="269"/>
      <c r="Q31" s="269"/>
      <c r="R31" s="269"/>
      <c r="S31" s="269"/>
      <c r="T31" s="269"/>
      <c r="U31" s="269"/>
      <c r="V31" s="269"/>
      <c r="W31" s="269"/>
      <c r="X31" s="269"/>
      <c r="Y31" s="269"/>
      <c r="Z31" s="269"/>
      <c r="AA31" s="269"/>
      <c r="AB31" s="269"/>
      <c r="AC31" s="269"/>
      <c r="AD31" s="269"/>
      <c r="AE31" s="269"/>
      <c r="AF31" s="269"/>
      <c r="AG31" s="269"/>
      <c r="AH31" s="270"/>
      <c r="AI31" s="6"/>
      <c r="AJ31" s="271" t="s">
        <v>37</v>
      </c>
      <c r="AK31" s="272"/>
      <c r="AL31" s="101"/>
      <c r="AM31" s="5"/>
      <c r="AN31" s="101"/>
    </row>
    <row x14ac:dyDescent="0.25" r="32" customHeight="1" ht="18.75">
      <c r="A32" s="273"/>
      <c r="B32" s="274" t="s">
        <v>38</v>
      </c>
      <c r="C32" s="275">
        <v>147</v>
      </c>
      <c r="D32" s="275">
        <v>205</v>
      </c>
      <c r="E32" s="275">
        <v>177</v>
      </c>
      <c r="F32" s="275">
        <v>178</v>
      </c>
      <c r="G32" s="275">
        <v>159</v>
      </c>
      <c r="H32" s="275">
        <v>190</v>
      </c>
      <c r="I32" s="275">
        <v>181</v>
      </c>
      <c r="J32" s="275">
        <v>325</v>
      </c>
      <c r="K32" s="275">
        <v>313</v>
      </c>
      <c r="L32" s="275">
        <v>221</v>
      </c>
      <c r="M32" s="275">
        <v>239</v>
      </c>
      <c r="N32" s="275">
        <v>236</v>
      </c>
      <c r="O32" s="275">
        <v>215</v>
      </c>
      <c r="P32" s="275">
        <v>178</v>
      </c>
      <c r="Q32" s="275">
        <v>374</v>
      </c>
      <c r="R32" s="275">
        <v>282</v>
      </c>
      <c r="S32" s="275">
        <v>231</v>
      </c>
      <c r="T32" s="275">
        <v>299</v>
      </c>
      <c r="U32" s="275">
        <v>244</v>
      </c>
      <c r="V32" s="275">
        <v>293</v>
      </c>
      <c r="W32" s="275">
        <v>278</v>
      </c>
      <c r="X32" s="275">
        <v>358</v>
      </c>
      <c r="Y32" s="275">
        <v>249</v>
      </c>
      <c r="Z32" s="275">
        <v>244</v>
      </c>
      <c r="AA32" s="275">
        <v>245</v>
      </c>
      <c r="AB32" s="275">
        <v>218</v>
      </c>
      <c r="AC32" s="275">
        <v>213</v>
      </c>
      <c r="AD32" s="275">
        <v>304</v>
      </c>
      <c r="AE32" s="275">
        <v>302</v>
      </c>
      <c r="AF32" s="275">
        <v>283</v>
      </c>
      <c r="AG32" s="275">
        <f>'[1]TEMP Summary'!$T$22</f>
      </c>
      <c r="AH32" s="276">
        <f>SUM(C32:AG32)</f>
      </c>
      <c r="AI32" s="6"/>
      <c r="AJ32" s="277">
        <f>AH32+AH39</f>
      </c>
      <c r="AK32" s="278" t="s">
        <v>38</v>
      </c>
      <c r="AL32" s="101"/>
      <c r="AM32" s="5"/>
      <c r="AN32" s="101"/>
    </row>
    <row x14ac:dyDescent="0.25" r="33" customHeight="1" ht="18.75">
      <c r="A33" s="273"/>
      <c r="B33" s="31" t="s">
        <v>39</v>
      </c>
      <c r="C33" s="275">
        <v>44</v>
      </c>
      <c r="D33" s="275">
        <v>55</v>
      </c>
      <c r="E33" s="275">
        <v>50</v>
      </c>
      <c r="F33" s="275">
        <v>79</v>
      </c>
      <c r="G33" s="275">
        <v>49</v>
      </c>
      <c r="H33" s="275">
        <v>87</v>
      </c>
      <c r="I33" s="275">
        <v>52</v>
      </c>
      <c r="J33" s="275">
        <v>98</v>
      </c>
      <c r="K33" s="275">
        <v>73</v>
      </c>
      <c r="L33" s="275">
        <v>70</v>
      </c>
      <c r="M33" s="275">
        <v>107</v>
      </c>
      <c r="N33" s="275">
        <v>81</v>
      </c>
      <c r="O33" s="275">
        <v>109</v>
      </c>
      <c r="P33" s="275">
        <v>61</v>
      </c>
      <c r="Q33" s="275">
        <v>105</v>
      </c>
      <c r="R33" s="275">
        <v>96</v>
      </c>
      <c r="S33" s="275">
        <v>93</v>
      </c>
      <c r="T33" s="275">
        <v>87</v>
      </c>
      <c r="U33" s="275">
        <v>116</v>
      </c>
      <c r="V33" s="275">
        <v>106</v>
      </c>
      <c r="W33" s="275">
        <v>97</v>
      </c>
      <c r="X33" s="275">
        <v>106</v>
      </c>
      <c r="Y33" s="275">
        <v>83</v>
      </c>
      <c r="Z33" s="275">
        <v>84</v>
      </c>
      <c r="AA33" s="275">
        <v>98</v>
      </c>
      <c r="AB33" s="275">
        <v>74</v>
      </c>
      <c r="AC33" s="275">
        <v>79</v>
      </c>
      <c r="AD33" s="275">
        <v>87</v>
      </c>
      <c r="AE33" s="275">
        <v>95</v>
      </c>
      <c r="AF33" s="275">
        <v>104</v>
      </c>
      <c r="AG33" s="275">
        <f>'[1]TEMP Summary'!$T$22</f>
      </c>
      <c r="AH33" s="279">
        <f>SUM(C33:AG33)</f>
      </c>
      <c r="AI33" s="6"/>
      <c r="AJ33" s="277">
        <f>AH33+AH40</f>
      </c>
      <c r="AK33" s="278" t="s">
        <v>39</v>
      </c>
      <c r="AL33" s="101"/>
      <c r="AM33" s="5"/>
      <c r="AN33" s="101"/>
    </row>
    <row x14ac:dyDescent="0.25" r="34" customHeight="1" ht="18.75">
      <c r="A34" s="273"/>
      <c r="B34" s="31" t="s">
        <v>40</v>
      </c>
      <c r="C34" s="275">
        <v>6</v>
      </c>
      <c r="D34" s="275">
        <v>5</v>
      </c>
      <c r="E34" s="275">
        <v>6</v>
      </c>
      <c r="F34" s="275">
        <v>5</v>
      </c>
      <c r="G34" s="275">
        <v>1</v>
      </c>
      <c r="H34" s="275">
        <f>'[1]TEMP Summary'!$T$22</f>
      </c>
      <c r="I34" s="275">
        <v>10</v>
      </c>
      <c r="J34" s="275">
        <v>9</v>
      </c>
      <c r="K34" s="275">
        <v>12</v>
      </c>
      <c r="L34" s="275">
        <v>9</v>
      </c>
      <c r="M34" s="275">
        <v>7</v>
      </c>
      <c r="N34" s="275">
        <f>'[1]TEMP Summary'!$T$22</f>
      </c>
      <c r="O34" s="275">
        <v>0</v>
      </c>
      <c r="P34" s="275">
        <v>6</v>
      </c>
      <c r="Q34" s="275">
        <v>17</v>
      </c>
      <c r="R34" s="275">
        <v>13</v>
      </c>
      <c r="S34" s="275">
        <v>13</v>
      </c>
      <c r="T34" s="275">
        <v>10</v>
      </c>
      <c r="U34" s="275">
        <f>'[1]TEMP Summary'!$T$22</f>
      </c>
      <c r="V34" s="275">
        <v>2</v>
      </c>
      <c r="W34" s="275">
        <v>13</v>
      </c>
      <c r="X34" s="275">
        <v>18</v>
      </c>
      <c r="Y34" s="275">
        <v>13</v>
      </c>
      <c r="Z34" s="275">
        <v>6</v>
      </c>
      <c r="AA34" s="275">
        <v>11</v>
      </c>
      <c r="AB34" s="275">
        <v>8</v>
      </c>
      <c r="AC34" s="275">
        <v>4</v>
      </c>
      <c r="AD34" s="275">
        <v>7</v>
      </c>
      <c r="AE34" s="275">
        <v>14</v>
      </c>
      <c r="AF34" s="275">
        <v>21</v>
      </c>
      <c r="AG34" s="275">
        <f>'[1]TEMP Summary'!$T$22</f>
      </c>
      <c r="AH34" s="279">
        <f>SUM(C34:AG34)</f>
      </c>
      <c r="AI34" s="6"/>
      <c r="AJ34" s="277">
        <f>AH34+AH41</f>
      </c>
      <c r="AK34" s="278" t="s">
        <v>159</v>
      </c>
      <c r="AL34" s="101"/>
      <c r="AM34" s="5"/>
      <c r="AN34" s="101"/>
    </row>
    <row x14ac:dyDescent="0.25" r="35" customHeight="1" ht="18.75">
      <c r="A35" s="273"/>
      <c r="B35" s="31" t="s">
        <v>41</v>
      </c>
      <c r="C35" s="275">
        <f>'[1]TEMP Summary'!$T$22</f>
      </c>
      <c r="D35" s="275">
        <f>'[1]TEMP Summary'!$T$22</f>
      </c>
      <c r="E35" s="275"/>
      <c r="F35" s="275">
        <f>'[1]TEMP Summary'!$T$22</f>
      </c>
      <c r="G35" s="275">
        <f>'[1]TEMP Summary'!$T$22</f>
      </c>
      <c r="H35" s="275">
        <v>20</v>
      </c>
      <c r="I35" s="275">
        <f>'[1]TEMP Summary'!$T$22</f>
      </c>
      <c r="J35" s="275">
        <f>'[1]TEMP Summary'!$T$22</f>
      </c>
      <c r="K35" s="275">
        <f>'[1]TEMP Summary'!$T$22</f>
      </c>
      <c r="L35" s="275">
        <f>'[1]TEMP Summary'!$T$22</f>
      </c>
      <c r="M35" s="275">
        <v>19</v>
      </c>
      <c r="N35" s="275">
        <f>'[1]TEMP Summary'!$T$22</f>
      </c>
      <c r="O35" s="275">
        <f>'[1]TEMP Summary'!$T$22</f>
      </c>
      <c r="P35" s="275">
        <v>24</v>
      </c>
      <c r="Q35" s="275">
        <f>'[1]TEMP Summary'!$T$22</f>
      </c>
      <c r="R35" s="275">
        <f>'[1]TEMP Summary'!$T$22</f>
      </c>
      <c r="S35" s="275">
        <f>'[1]TEMP Summary'!$T$22</f>
      </c>
      <c r="T35" s="275">
        <v>32</v>
      </c>
      <c r="U35" s="275">
        <f>'[1]TEMP Summary'!$T$22</f>
      </c>
      <c r="V35" s="275">
        <f>'[1]TEMP Summary'!$T$22</f>
      </c>
      <c r="W35" s="275">
        <f>'[1]TEMP Summary'!$T$22</f>
      </c>
      <c r="X35" s="275">
        <f>'[1]TEMP Summary'!$T$22</f>
      </c>
      <c r="Y35" s="275">
        <f>'[1]TEMP Summary'!$T$22</f>
      </c>
      <c r="Z35" s="275">
        <f>'[1]TEMP Summary'!$T$22</f>
      </c>
      <c r="AA35" s="275">
        <f>'[1]TEMP Summary'!$T$22</f>
      </c>
      <c r="AB35" s="275">
        <f>'[1]TEMP Summary'!$T$22</f>
      </c>
      <c r="AC35" s="275">
        <f>'[1]TEMP Summary'!$T$22</f>
      </c>
      <c r="AD35" s="275">
        <f>'[1]TEMP Summary'!$T$22</f>
      </c>
      <c r="AE35" s="275">
        <f>'[1]TEMP Summary'!$T$22</f>
      </c>
      <c r="AF35" s="275">
        <f>'[1]TEMP Summary'!$T$22</f>
      </c>
      <c r="AG35" s="275">
        <f>'[1]TEMP Summary'!$T$22</f>
      </c>
      <c r="AH35" s="279">
        <f>SUM(C35:AG35)</f>
      </c>
      <c r="AI35" s="6"/>
      <c r="AJ35" s="277">
        <f>AH35+AH42</f>
      </c>
      <c r="AK35" s="278" t="s">
        <v>41</v>
      </c>
      <c r="AL35" s="101"/>
      <c r="AM35" s="5"/>
      <c r="AN35" s="101"/>
    </row>
    <row x14ac:dyDescent="0.25" r="36" customHeight="1" ht="18.75">
      <c r="A36" s="273"/>
      <c r="B36" s="31" t="s">
        <v>42</v>
      </c>
      <c r="C36" s="275">
        <v>21</v>
      </c>
      <c r="D36" s="275">
        <v>45</v>
      </c>
      <c r="E36" s="275">
        <v>37</v>
      </c>
      <c r="F36" s="275">
        <v>47</v>
      </c>
      <c r="G36" s="275">
        <v>37</v>
      </c>
      <c r="H36" s="275">
        <v>50</v>
      </c>
      <c r="I36" s="275">
        <v>63</v>
      </c>
      <c r="J36" s="275">
        <v>59</v>
      </c>
      <c r="K36" s="275">
        <v>26</v>
      </c>
      <c r="L36" s="275">
        <v>61</v>
      </c>
      <c r="M36" s="275">
        <v>43</v>
      </c>
      <c r="N36" s="275">
        <v>81</v>
      </c>
      <c r="O36" s="275">
        <v>67</v>
      </c>
      <c r="P36" s="275">
        <v>45</v>
      </c>
      <c r="Q36" s="275">
        <v>70</v>
      </c>
      <c r="R36" s="275">
        <v>60</v>
      </c>
      <c r="S36" s="275">
        <v>54</v>
      </c>
      <c r="T36" s="275">
        <v>66</v>
      </c>
      <c r="U36" s="275">
        <v>54</v>
      </c>
      <c r="V36" s="275">
        <v>79</v>
      </c>
      <c r="W36" s="275">
        <v>70</v>
      </c>
      <c r="X36" s="275">
        <v>46</v>
      </c>
      <c r="Y36" s="275">
        <v>60</v>
      </c>
      <c r="Z36" s="275">
        <v>68</v>
      </c>
      <c r="AA36" s="275">
        <v>67</v>
      </c>
      <c r="AB36" s="275">
        <v>42</v>
      </c>
      <c r="AC36" s="275">
        <v>64</v>
      </c>
      <c r="AD36" s="275">
        <v>50</v>
      </c>
      <c r="AE36" s="275">
        <v>57</v>
      </c>
      <c r="AF36" s="275">
        <v>37</v>
      </c>
      <c r="AG36" s="275">
        <f>'[1]TEMP Summary'!$T$22</f>
      </c>
      <c r="AH36" s="279">
        <f>SUM(C36:AG36)</f>
      </c>
      <c r="AI36" s="6"/>
      <c r="AJ36" s="277">
        <f>AH36+AH43</f>
      </c>
      <c r="AK36" s="278" t="s">
        <v>42</v>
      </c>
      <c r="AL36" s="101"/>
      <c r="AM36" s="5"/>
      <c r="AN36" s="101"/>
    </row>
    <row x14ac:dyDescent="0.25" r="37" customHeight="1" ht="18.75">
      <c r="A37" s="273"/>
      <c r="B37" s="31" t="s">
        <v>43</v>
      </c>
      <c r="C37" s="275">
        <v>9</v>
      </c>
      <c r="D37" s="275">
        <v>5</v>
      </c>
      <c r="E37" s="275">
        <v>4</v>
      </c>
      <c r="F37" s="275">
        <v>7</v>
      </c>
      <c r="G37" s="275">
        <v>14</v>
      </c>
      <c r="H37" s="275">
        <v>16</v>
      </c>
      <c r="I37" s="275">
        <v>13</v>
      </c>
      <c r="J37" s="275">
        <v>17</v>
      </c>
      <c r="K37" s="275">
        <v>15</v>
      </c>
      <c r="L37" s="275">
        <v>11</v>
      </c>
      <c r="M37" s="275">
        <v>13</v>
      </c>
      <c r="N37" s="275">
        <v>27</v>
      </c>
      <c r="O37" s="275">
        <v>7</v>
      </c>
      <c r="P37" s="275">
        <v>8</v>
      </c>
      <c r="Q37" s="275">
        <v>9</v>
      </c>
      <c r="R37" s="275">
        <v>9</v>
      </c>
      <c r="S37" s="275">
        <v>12</v>
      </c>
      <c r="T37" s="275">
        <v>10</v>
      </c>
      <c r="U37" s="275">
        <v>10</v>
      </c>
      <c r="V37" s="275">
        <v>26</v>
      </c>
      <c r="W37" s="275">
        <v>11</v>
      </c>
      <c r="X37" s="275">
        <v>11</v>
      </c>
      <c r="Y37" s="275">
        <v>1</v>
      </c>
      <c r="Z37" s="275">
        <v>15</v>
      </c>
      <c r="AA37" s="275">
        <v>11</v>
      </c>
      <c r="AB37" s="275">
        <v>19</v>
      </c>
      <c r="AC37" s="275">
        <v>11</v>
      </c>
      <c r="AD37" s="275">
        <v>7</v>
      </c>
      <c r="AE37" s="275">
        <v>10</v>
      </c>
      <c r="AF37" s="275">
        <v>9</v>
      </c>
      <c r="AG37" s="275">
        <f>'[1]TEMP Summary'!$T$22</f>
      </c>
      <c r="AH37" s="279">
        <f>SUM(C37:AG37)</f>
      </c>
      <c r="AI37" s="6"/>
      <c r="AJ37" s="277">
        <f>AH37+AH44</f>
      </c>
      <c r="AK37" s="278" t="s">
        <v>43</v>
      </c>
      <c r="AL37" s="101"/>
      <c r="AM37" s="5"/>
      <c r="AN37" s="101"/>
    </row>
    <row x14ac:dyDescent="0.25" r="38" customHeight="1" ht="18.75">
      <c r="A38" s="273"/>
      <c r="B38" s="280" t="s">
        <v>160</v>
      </c>
      <c r="C38" s="281">
        <f>SUM(C32:C37)</f>
      </c>
      <c r="D38" s="282">
        <f>SUM(D32:D37)</f>
      </c>
      <c r="E38" s="282">
        <f>SUM(E32:E37)</f>
      </c>
      <c r="F38" s="282">
        <f>SUM(F32:F37)</f>
      </c>
      <c r="G38" s="282">
        <f>SUM(G32:G37)</f>
      </c>
      <c r="H38" s="282">
        <f>SUM(H32:H37)</f>
      </c>
      <c r="I38" s="282">
        <f>SUM(I32:I37)</f>
      </c>
      <c r="J38" s="282">
        <f>SUM(J32:J37)</f>
      </c>
      <c r="K38" s="282">
        <f>SUM(K32:K37)</f>
      </c>
      <c r="L38" s="282">
        <f>SUM(L32:L37)</f>
      </c>
      <c r="M38" s="282">
        <f>SUM(M32:M37)</f>
      </c>
      <c r="N38" s="282">
        <f>SUM(N32:N37)</f>
      </c>
      <c r="O38" s="282">
        <f>SUM(O32:O37)</f>
      </c>
      <c r="P38" s="282">
        <f>SUM(P32:P37)</f>
      </c>
      <c r="Q38" s="282">
        <f>SUM(Q32:Q37)</f>
      </c>
      <c r="R38" s="282">
        <f>SUM(R32:R37)</f>
      </c>
      <c r="S38" s="282">
        <f>SUM(S32:S37)</f>
      </c>
      <c r="T38" s="282">
        <f>SUM(T32:T37)</f>
      </c>
      <c r="U38" s="282">
        <f>SUM(U32:U37)</f>
      </c>
      <c r="V38" s="282">
        <f>SUM(V32:V37)</f>
      </c>
      <c r="W38" s="282">
        <f>SUM(W32:W37)</f>
      </c>
      <c r="X38" s="282">
        <f>SUM(X32:X37)</f>
      </c>
      <c r="Y38" s="282">
        <f>SUM(Y32:Y37)</f>
      </c>
      <c r="Z38" s="282">
        <f>SUM(Z32:Z37)</f>
      </c>
      <c r="AA38" s="282">
        <f>SUM(AA32:AA37)</f>
      </c>
      <c r="AB38" s="282">
        <f>SUM(AB32:AB37)</f>
      </c>
      <c r="AC38" s="282">
        <f>SUM(AC32:AC37)</f>
      </c>
      <c r="AD38" s="282">
        <f>SUM(AD32:AD37)</f>
      </c>
      <c r="AE38" s="282">
        <f>SUM(AE32:AE37)</f>
      </c>
      <c r="AF38" s="282">
        <f>SUM(AF32:AF37)</f>
      </c>
      <c r="AG38" s="283">
        <f>SUM(AG32:AG37)</f>
      </c>
      <c r="AH38" s="284">
        <f>SUM(C38:AG38)</f>
      </c>
      <c r="AI38" s="6"/>
      <c r="AJ38" s="277"/>
      <c r="AK38" s="278"/>
      <c r="AL38" s="101"/>
      <c r="AM38" s="5"/>
      <c r="AN38" s="101"/>
    </row>
    <row x14ac:dyDescent="0.25" r="39" customHeight="1" ht="18.75">
      <c r="A39" s="273"/>
      <c r="B39" s="285" t="s">
        <v>38</v>
      </c>
      <c r="C39" s="286">
        <f>325-C32</f>
      </c>
      <c r="D39" s="286">
        <f>323-D32</f>
      </c>
      <c r="E39" s="286">
        <f>280-E32</f>
      </c>
      <c r="F39" s="286">
        <f>290-F32</f>
      </c>
      <c r="G39" s="286">
        <f>298-G32</f>
      </c>
      <c r="H39" s="286">
        <f>334-H32</f>
      </c>
      <c r="I39" s="286">
        <f>320-I32</f>
      </c>
      <c r="J39" s="286">
        <f>552-J32</f>
      </c>
      <c r="K39" s="286">
        <f>507-K32</f>
      </c>
      <c r="L39" s="286">
        <f>393-L32</f>
      </c>
      <c r="M39" s="286">
        <f>396-M32</f>
      </c>
      <c r="N39" s="286">
        <f>376-N32</f>
      </c>
      <c r="O39" s="286">
        <f>369-O32</f>
      </c>
      <c r="P39" s="286">
        <f>348-P32</f>
      </c>
      <c r="Q39" s="286">
        <f>671-Q32</f>
      </c>
      <c r="R39" s="286">
        <f>494-R32</f>
      </c>
      <c r="S39" s="286">
        <f>428-S32</f>
      </c>
      <c r="T39" s="286">
        <f>512-T32</f>
      </c>
      <c r="U39" s="286">
        <f>473-U32</f>
      </c>
      <c r="V39" s="286">
        <f>462-V32</f>
      </c>
      <c r="W39" s="286">
        <f>469-W32</f>
      </c>
      <c r="X39" s="286">
        <f>606-X32</f>
      </c>
      <c r="Y39" s="286">
        <f>524-Y32</f>
      </c>
      <c r="Z39" s="286">
        <f>416-Z32</f>
      </c>
      <c r="AA39" s="286">
        <f>446-AA32</f>
      </c>
      <c r="AB39" s="286">
        <f>424-AB32</f>
      </c>
      <c r="AC39" s="286">
        <f>399-AC32</f>
      </c>
      <c r="AD39" s="286">
        <f>483-AD32</f>
      </c>
      <c r="AE39" s="286">
        <f>523-AE32</f>
      </c>
      <c r="AF39" s="286">
        <f>481-AF32</f>
      </c>
      <c r="AG39" s="287">
        <f>'[1]TEMP Summary'!$T$22</f>
      </c>
      <c r="AH39" s="276">
        <f>SUM(C39:AG39)</f>
      </c>
      <c r="AI39" s="6"/>
      <c r="AJ39" s="277"/>
      <c r="AK39" s="278"/>
      <c r="AL39" s="101"/>
      <c r="AM39" s="5"/>
      <c r="AN39" s="101"/>
    </row>
    <row x14ac:dyDescent="0.25" r="40" customHeight="1" ht="18.75">
      <c r="A40" s="273"/>
      <c r="B40" s="31" t="s">
        <v>39</v>
      </c>
      <c r="C40" s="275">
        <f>92-C33</f>
      </c>
      <c r="D40" s="275">
        <f>88-D33</f>
      </c>
      <c r="E40" s="275">
        <f>67-E33</f>
      </c>
      <c r="F40" s="275">
        <f>114-F33</f>
      </c>
      <c r="G40" s="275">
        <f>99-G33</f>
      </c>
      <c r="H40" s="275">
        <f>136-H33</f>
      </c>
      <c r="I40" s="275">
        <f>75-I33</f>
      </c>
      <c r="J40" s="275">
        <f>150-J33</f>
      </c>
      <c r="K40" s="275">
        <f>116-K33</f>
      </c>
      <c r="L40" s="275">
        <f>115-L33</f>
      </c>
      <c r="M40" s="275">
        <f>152-M33</f>
      </c>
      <c r="N40" s="275">
        <f>141-N33</f>
      </c>
      <c r="O40" s="275">
        <f>146-O33</f>
      </c>
      <c r="P40" s="275">
        <f>117-P33</f>
      </c>
      <c r="Q40" s="275">
        <f>204-Q33</f>
      </c>
      <c r="R40" s="275">
        <f>178-R33</f>
      </c>
      <c r="S40" s="275">
        <f>157-S33</f>
      </c>
      <c r="T40" s="275">
        <f>155-T33</f>
      </c>
      <c r="U40" s="275">
        <f>203-U33</f>
      </c>
      <c r="V40" s="275">
        <f>179-V33</f>
      </c>
      <c r="W40" s="275">
        <f>170-W33</f>
      </c>
      <c r="X40" s="275">
        <f>178-X33</f>
      </c>
      <c r="Y40" s="275">
        <f>167-Y33</f>
      </c>
      <c r="Z40" s="275">
        <f>161-Z33</f>
      </c>
      <c r="AA40" s="275">
        <f>197-AA33</f>
      </c>
      <c r="AB40" s="275">
        <f>174-AB33</f>
      </c>
      <c r="AC40" s="275">
        <f>147-AC33</f>
      </c>
      <c r="AD40" s="275">
        <f>146-AD33</f>
      </c>
      <c r="AE40" s="275">
        <f>173-AE33</f>
      </c>
      <c r="AF40" s="275">
        <f>174-AF33</f>
      </c>
      <c r="AG40" s="32">
        <f>'[1]TEMP Summary'!$T$22</f>
      </c>
      <c r="AH40" s="279">
        <f>SUM(C40:AG40)</f>
      </c>
      <c r="AI40" s="6"/>
      <c r="AJ40" s="277"/>
      <c r="AK40" s="278"/>
      <c r="AL40" s="101"/>
      <c r="AM40" s="5"/>
      <c r="AN40" s="101"/>
    </row>
    <row x14ac:dyDescent="0.25" r="41" customHeight="1" ht="18.75">
      <c r="A41" s="273"/>
      <c r="B41" s="31" t="s">
        <v>40</v>
      </c>
      <c r="C41" s="275">
        <f>11-C34</f>
      </c>
      <c r="D41" s="275">
        <f>9-D34</f>
      </c>
      <c r="E41" s="275">
        <f>7-E34</f>
      </c>
      <c r="F41" s="275">
        <f>7-F34</f>
      </c>
      <c r="G41" s="275">
        <f>6-G34</f>
      </c>
      <c r="H41" s="275">
        <v>7</v>
      </c>
      <c r="I41" s="275">
        <f>14-I34</f>
      </c>
      <c r="J41" s="275">
        <f>13-J34</f>
      </c>
      <c r="K41" s="275">
        <f>17-K34</f>
      </c>
      <c r="L41" s="275">
        <f>17-L34</f>
      </c>
      <c r="M41" s="275">
        <f>9-M34</f>
      </c>
      <c r="N41" s="275">
        <f>5-N34</f>
      </c>
      <c r="O41" s="275">
        <v>3</v>
      </c>
      <c r="P41" s="275">
        <f>17-P34</f>
      </c>
      <c r="Q41" s="275">
        <f>27-Q34</f>
      </c>
      <c r="R41" s="275">
        <f>26-R34</f>
      </c>
      <c r="S41" s="275">
        <f>18-S34</f>
      </c>
      <c r="T41" s="275">
        <f>15-T34</f>
      </c>
      <c r="U41" s="275">
        <v>2</v>
      </c>
      <c r="V41" s="275">
        <f>5-V34</f>
      </c>
      <c r="W41" s="275">
        <f>19-W34</f>
      </c>
      <c r="X41" s="275">
        <f>18-X34</f>
      </c>
      <c r="Y41" s="275">
        <f>23-Y34</f>
      </c>
      <c r="Z41" s="275">
        <f>10-Z34</f>
      </c>
      <c r="AA41" s="275">
        <f>14-AA34</f>
      </c>
      <c r="AB41" s="275">
        <f>14-AB34</f>
      </c>
      <c r="AC41" s="275">
        <f>9-AC34</f>
      </c>
      <c r="AD41" s="275">
        <f>11-AD34</f>
      </c>
      <c r="AE41" s="275">
        <f>23-AE34</f>
      </c>
      <c r="AF41" s="275">
        <f>30-AF34</f>
      </c>
      <c r="AG41" s="32">
        <f>'[1]TEMP Summary'!$T$22</f>
      </c>
      <c r="AH41" s="279">
        <f>SUM(C41:AG41)</f>
      </c>
      <c r="AI41" s="6"/>
      <c r="AJ41" s="277"/>
      <c r="AK41" s="278"/>
      <c r="AL41" s="101"/>
      <c r="AM41" s="5"/>
      <c r="AN41" s="101"/>
    </row>
    <row x14ac:dyDescent="0.25" r="42" customHeight="1" ht="18.75">
      <c r="A42" s="273"/>
      <c r="B42" s="31" t="s">
        <v>41</v>
      </c>
      <c r="C42" s="275">
        <f>'[1]TEMP Summary'!$T$22</f>
      </c>
      <c r="D42" s="275">
        <f>'[1]TEMP Summary'!$T$22</f>
      </c>
      <c r="E42" s="275">
        <f>'[1]TEMP Summary'!$T$22</f>
      </c>
      <c r="F42" s="275">
        <f>'[1]TEMP Summary'!$T$22</f>
      </c>
      <c r="G42" s="275">
        <f>'[1]TEMP Summary'!$T$22</f>
      </c>
      <c r="H42" s="275">
        <v>0</v>
      </c>
      <c r="I42" s="275">
        <f>'[1]TEMP Summary'!$T$22</f>
      </c>
      <c r="J42" s="275">
        <f>'[1]TEMP Summary'!$T$22</f>
      </c>
      <c r="K42" s="275">
        <f>'[1]TEMP Summary'!$T$22</f>
      </c>
      <c r="L42" s="275">
        <f>'[1]TEMP Summary'!$T$22</f>
      </c>
      <c r="M42" s="275">
        <f>'[1]TEMP Summary'!$T$22</f>
      </c>
      <c r="N42" s="275">
        <v>0</v>
      </c>
      <c r="O42" s="275">
        <v>29</v>
      </c>
      <c r="P42" s="275">
        <f>'[1]TEMP Summary'!$T$22</f>
      </c>
      <c r="Q42" s="275">
        <f>'[1]TEMP Summary'!$T$22</f>
      </c>
      <c r="R42" s="275">
        <f>'[1]TEMP Summary'!$T$22</f>
      </c>
      <c r="S42" s="275">
        <f>'[1]TEMP Summary'!$T$22</f>
      </c>
      <c r="T42" s="275">
        <f>'[1]TEMP Summary'!$T$22</f>
      </c>
      <c r="U42" s="275">
        <f>'[1]TEMP Summary'!$T$22</f>
      </c>
      <c r="V42" s="275">
        <f>'[1]TEMP Summary'!$T$22</f>
      </c>
      <c r="W42" s="275">
        <v>15</v>
      </c>
      <c r="X42" s="275">
        <f>'[1]TEMP Summary'!$T$22</f>
      </c>
      <c r="Y42" s="275">
        <f>'[1]TEMP Summary'!$T$22</f>
      </c>
      <c r="Z42" s="275">
        <f>'[1]TEMP Summary'!$T$22</f>
      </c>
      <c r="AA42" s="275">
        <f>'[1]TEMP Summary'!$T$22</f>
      </c>
      <c r="AB42" s="275">
        <v>21</v>
      </c>
      <c r="AC42" s="275">
        <f>'[1]TEMP Summary'!$T$22</f>
      </c>
      <c r="AD42" s="275">
        <f>'[1]TEMP Summary'!$T$22</f>
      </c>
      <c r="AE42" s="275">
        <f>15-AE35</f>
      </c>
      <c r="AF42" s="275">
        <f>'[1]TEMP Summary'!$T$22</f>
      </c>
      <c r="AG42" s="32">
        <f>'[1]TEMP Summary'!$T$22</f>
      </c>
      <c r="AH42" s="279">
        <f>SUM(C42:AG42)</f>
      </c>
      <c r="AI42" s="6"/>
      <c r="AJ42" s="277"/>
      <c r="AK42" s="278"/>
      <c r="AL42" s="101"/>
      <c r="AM42" s="5"/>
      <c r="AN42" s="101"/>
    </row>
    <row x14ac:dyDescent="0.25" r="43" customHeight="1" ht="18.75">
      <c r="A43" s="273"/>
      <c r="B43" s="31" t="s">
        <v>42</v>
      </c>
      <c r="C43" s="275">
        <f>59-C36</f>
      </c>
      <c r="D43" s="275">
        <f>77-D36</f>
      </c>
      <c r="E43" s="275">
        <f>68-E36</f>
      </c>
      <c r="F43" s="275">
        <f>73-F36</f>
      </c>
      <c r="G43" s="275">
        <f>68-G36</f>
      </c>
      <c r="H43" s="275">
        <f>92-H36</f>
      </c>
      <c r="I43" s="275">
        <f>95-I36</f>
      </c>
      <c r="J43" s="275">
        <f>82-J36</f>
      </c>
      <c r="K43" s="275">
        <f>52-K36</f>
      </c>
      <c r="L43" s="275">
        <f>94-L36</f>
      </c>
      <c r="M43" s="275">
        <f>82-M36</f>
      </c>
      <c r="N43" s="275">
        <f>127-N36</f>
      </c>
      <c r="O43" s="275">
        <f>102-O36</f>
      </c>
      <c r="P43" s="275">
        <f>75-P36</f>
      </c>
      <c r="Q43" s="275">
        <f>118-Q36</f>
      </c>
      <c r="R43" s="275">
        <f>103-R36</f>
      </c>
      <c r="S43" s="275">
        <f>99-S36</f>
      </c>
      <c r="T43" s="275">
        <f>106-T36</f>
      </c>
      <c r="U43" s="275">
        <f>94-U36</f>
      </c>
      <c r="V43" s="275">
        <f>115-V36</f>
      </c>
      <c r="W43" s="275">
        <f>122-W36</f>
      </c>
      <c r="X43" s="275">
        <f>95-X36</f>
      </c>
      <c r="Y43" s="275">
        <f>117-Y36</f>
      </c>
      <c r="Z43" s="275">
        <f>107-Z36</f>
      </c>
      <c r="AA43" s="275">
        <f>94-AA36</f>
      </c>
      <c r="AB43" s="275">
        <f>106-AB36</f>
      </c>
      <c r="AC43" s="275">
        <f>98-AC36</f>
      </c>
      <c r="AD43" s="275">
        <f>100-AD36</f>
      </c>
      <c r="AE43" s="275">
        <f>92-AE36</f>
      </c>
      <c r="AF43" s="275">
        <f>65-AF36</f>
      </c>
      <c r="AG43" s="32">
        <f>'[1]TEMP Summary'!$T$22</f>
      </c>
      <c r="AH43" s="279">
        <f>SUM(C43:AG43)</f>
      </c>
      <c r="AI43" s="6"/>
      <c r="AJ43" s="277"/>
      <c r="AK43" s="278"/>
      <c r="AL43" s="101"/>
      <c r="AM43" s="5"/>
      <c r="AN43" s="101"/>
    </row>
    <row x14ac:dyDescent="0.25" r="44" customHeight="1" ht="18.75">
      <c r="A44" s="273"/>
      <c r="B44" s="31" t="s">
        <v>43</v>
      </c>
      <c r="C44" s="275">
        <f>19-C37</f>
      </c>
      <c r="D44" s="275">
        <f>10-D37</f>
      </c>
      <c r="E44" s="275">
        <f>7-E37</f>
      </c>
      <c r="F44" s="275">
        <f>19-F37</f>
      </c>
      <c r="G44" s="275">
        <f>24-G37</f>
      </c>
      <c r="H44" s="275">
        <f>25-H37</f>
      </c>
      <c r="I44" s="275">
        <f>18-I37</f>
      </c>
      <c r="J44" s="275">
        <f>19-J37</f>
      </c>
      <c r="K44" s="275">
        <f>25-K37</f>
      </c>
      <c r="L44" s="275">
        <f>12-L37</f>
      </c>
      <c r="M44" s="275">
        <f>17-M37</f>
      </c>
      <c r="N44" s="275">
        <f>30-N37</f>
      </c>
      <c r="O44" s="275">
        <f>13-O37</f>
      </c>
      <c r="P44" s="275">
        <f>13-P37</f>
      </c>
      <c r="Q44" s="275">
        <f>21-Q37</f>
      </c>
      <c r="R44" s="275">
        <f>16-R37</f>
      </c>
      <c r="S44" s="275">
        <f>21-S37</f>
      </c>
      <c r="T44" s="275">
        <f>19-T37</f>
      </c>
      <c r="U44" s="275">
        <f>16-U37</f>
      </c>
      <c r="V44" s="275">
        <f>37-V37</f>
      </c>
      <c r="W44" s="275">
        <f>15-W37</f>
      </c>
      <c r="X44" s="275">
        <f>20-X37</f>
      </c>
      <c r="Y44" s="275">
        <f>15-Y37</f>
      </c>
      <c r="Z44" s="275">
        <f>15-Z37</f>
      </c>
      <c r="AA44" s="275">
        <f>19-AA37</f>
      </c>
      <c r="AB44" s="275">
        <f>27-AB37</f>
      </c>
      <c r="AC44" s="275">
        <f>19-AC37</f>
      </c>
      <c r="AD44" s="275">
        <f>9-AD37</f>
      </c>
      <c r="AE44" s="275">
        <f>14-AE37</f>
      </c>
      <c r="AF44" s="275">
        <f>17-AF37</f>
      </c>
      <c r="AG44" s="32">
        <f>'[1]TEMP Summary'!$T$22</f>
      </c>
      <c r="AH44" s="279">
        <f>SUM(C44:AG44)</f>
      </c>
      <c r="AI44" s="6"/>
      <c r="AJ44" s="277"/>
      <c r="AK44" s="288"/>
      <c r="AL44" s="101"/>
      <c r="AM44" s="5"/>
      <c r="AN44" s="101"/>
    </row>
    <row x14ac:dyDescent="0.25" r="45" customHeight="1" ht="18.75">
      <c r="A45" s="273"/>
      <c r="B45" s="289" t="s">
        <v>161</v>
      </c>
      <c r="C45" s="281">
        <f>SUM(C39:C44)</f>
      </c>
      <c r="D45" s="281">
        <f>SUM(D39:D44)</f>
      </c>
      <c r="E45" s="281">
        <f>SUM(E39:E44)</f>
      </c>
      <c r="F45" s="281">
        <f>SUM(F39:F44)</f>
      </c>
      <c r="G45" s="281">
        <f>SUM(G39:G44)</f>
      </c>
      <c r="H45" s="281">
        <f>SUM(H39:H44)</f>
      </c>
      <c r="I45" s="281">
        <f>SUM(I39:I44)</f>
      </c>
      <c r="J45" s="281">
        <f>SUM(J39:J44)</f>
      </c>
      <c r="K45" s="281">
        <f>SUM(K39:K44)</f>
      </c>
      <c r="L45" s="281">
        <f>SUM(L39:L44)</f>
      </c>
      <c r="M45" s="281">
        <f>SUM(M39:M44)</f>
      </c>
      <c r="N45" s="281">
        <f>SUM(N39:N44)</f>
      </c>
      <c r="O45" s="281">
        <f>SUM(O39:O44)</f>
      </c>
      <c r="P45" s="281">
        <f>SUM(P39:P44)</f>
      </c>
      <c r="Q45" s="281">
        <f>SUM(Q39:Q44)</f>
      </c>
      <c r="R45" s="281">
        <f>SUM(R39:R44)</f>
      </c>
      <c r="S45" s="281">
        <f>SUM(S39:S44)</f>
      </c>
      <c r="T45" s="281">
        <f>SUM(T39:T44)</f>
      </c>
      <c r="U45" s="281">
        <f>SUM(U39:U44)</f>
      </c>
      <c r="V45" s="281">
        <f>SUM(V39:V44)</f>
      </c>
      <c r="W45" s="281">
        <f>SUM(W39:W44)</f>
      </c>
      <c r="X45" s="281">
        <f>SUM(X39:X44)</f>
      </c>
      <c r="Y45" s="281">
        <f>SUM(Y39:Y44)</f>
      </c>
      <c r="Z45" s="281">
        <f>SUM(Z39:Z44)</f>
      </c>
      <c r="AA45" s="281">
        <f>SUM(AA39:AA44)</f>
      </c>
      <c r="AB45" s="281">
        <f>SUM(AB39:AB44)</f>
      </c>
      <c r="AC45" s="281">
        <f>SUM(AC39:AC44)</f>
      </c>
      <c r="AD45" s="281">
        <f>SUM(AD39:AD44)</f>
      </c>
      <c r="AE45" s="281">
        <f>SUM(AE39:AE44)</f>
      </c>
      <c r="AF45" s="281">
        <f>SUM(AF39:AF44)</f>
      </c>
      <c r="AG45" s="283">
        <f>SUM(AG39:AG44)</f>
      </c>
      <c r="AH45" s="290">
        <f>SUM(C45:AG45)</f>
      </c>
      <c r="AI45" s="6"/>
      <c r="AJ45" s="291"/>
      <c r="AK45" s="292"/>
      <c r="AL45" s="101"/>
      <c r="AM45" s="5"/>
      <c r="AN45" s="101"/>
    </row>
    <row x14ac:dyDescent="0.25" r="46" customHeight="1" ht="18.75">
      <c r="A46" s="293"/>
      <c r="B46" s="294" t="s">
        <v>44</v>
      </c>
      <c r="C46" s="295">
        <f>SUM(C32:C37,C39:C44)</f>
      </c>
      <c r="D46" s="295">
        <f>SUM(D32:D37,D39:D44)</f>
      </c>
      <c r="E46" s="295">
        <f>SUM(E32:E37,E39:E44)</f>
      </c>
      <c r="F46" s="295">
        <f>SUM(F32:F37,F39:F44)</f>
      </c>
      <c r="G46" s="295">
        <f>SUM(G32:G37,G39:G44)</f>
      </c>
      <c r="H46" s="295">
        <f>SUM(H32:H37,H39:H44)</f>
      </c>
      <c r="I46" s="295">
        <f>SUM(I32:I37,I39:I44)</f>
      </c>
      <c r="J46" s="295">
        <f>SUM(J32:J37,J39:J44)</f>
      </c>
      <c r="K46" s="295">
        <f>SUM(K32:K37,K39:K44)</f>
      </c>
      <c r="L46" s="295">
        <f>SUM(L32:L37,L39:L44)</f>
      </c>
      <c r="M46" s="295">
        <f>SUM(M32:M37,M39:M44)</f>
      </c>
      <c r="N46" s="295">
        <f>SUM(N32:N37,N39:N44)</f>
      </c>
      <c r="O46" s="295">
        <f>SUM(O32:O37,O39:O44)</f>
      </c>
      <c r="P46" s="295">
        <f>SUM(P32:P37,P39:P44)</f>
      </c>
      <c r="Q46" s="295">
        <f>SUM(Q32:Q37,Q39:Q44)</f>
      </c>
      <c r="R46" s="295">
        <f>SUM(R32:R37,R39:R44)</f>
      </c>
      <c r="S46" s="295">
        <f>SUM(S32:S37,S39:S44)</f>
      </c>
      <c r="T46" s="295">
        <f>SUM(T32:T37,T39:T44)</f>
      </c>
      <c r="U46" s="295">
        <f>SUM(U32:U37,U39:U44)</f>
      </c>
      <c r="V46" s="295">
        <f>SUM(V32:V37,V39:V44)</f>
      </c>
      <c r="W46" s="295">
        <f>SUM(W32:W37,W39:W44)</f>
      </c>
      <c r="X46" s="295">
        <f>SUM(X32:X37,X39:X44)</f>
      </c>
      <c r="Y46" s="295">
        <f>SUM(Y32:Y37,Y39:Y44)</f>
      </c>
      <c r="Z46" s="295">
        <f>SUM(Z32:Z37,Z39:Z44)</f>
      </c>
      <c r="AA46" s="295">
        <f>SUM(AA32:AA37,AA39:AA44)</f>
      </c>
      <c r="AB46" s="295">
        <f>SUM(AB32:AB37,AB39:AB44)</f>
      </c>
      <c r="AC46" s="295">
        <f>SUM(AC32:AC37,AC39:AC44)</f>
      </c>
      <c r="AD46" s="295">
        <f>SUM(AD32:AD37,AD39:AD44)</f>
      </c>
      <c r="AE46" s="295">
        <f>SUM(AE32:AE37,AE39:AE44)</f>
      </c>
      <c r="AF46" s="295">
        <f>SUM(AF32:AF37,AF39:AF44)</f>
      </c>
      <c r="AG46" s="35">
        <f>SUM(AG32:AG37,AG39:AG44)</f>
      </c>
      <c r="AH46" s="296">
        <f>SUM(AH32:AH37,AH39:AH44)</f>
      </c>
      <c r="AI46" s="6"/>
      <c r="AJ46" s="297">
        <f>AH46</f>
      </c>
      <c r="AK46" s="298" t="s">
        <v>44</v>
      </c>
      <c r="AL46" s="101"/>
      <c r="AM46" s="5"/>
      <c r="AN46" s="101"/>
    </row>
  </sheetData>
  <mergeCells count="4">
    <mergeCell ref="AJ17:AM17"/>
    <mergeCell ref="AJ25:AK25"/>
    <mergeCell ref="AL25:AM25"/>
    <mergeCell ref="AJ31:AK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16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3" width="13.43357142857143" customWidth="1" bestFit="1"/>
    <col min="2" max="2" style="23" width="33.86214285714286" customWidth="1" bestFit="1"/>
    <col min="3" max="3" style="26" width="10.005" customWidth="1" bestFit="1"/>
    <col min="4" max="4" style="26" width="10.005" customWidth="1" bestFit="1"/>
    <col min="5" max="5" style="26" width="10.005" customWidth="1" bestFit="1"/>
    <col min="6" max="6" style="26" width="10.005" customWidth="1" bestFit="1"/>
    <col min="7" max="7" style="26" width="10.005" customWidth="1" bestFit="1"/>
    <col min="8" max="8" style="26" width="10.005" customWidth="1" bestFit="1"/>
    <col min="9" max="9" style="26" width="10.005" customWidth="1" bestFit="1"/>
    <col min="10" max="10" style="26" width="10.005" customWidth="1" bestFit="1"/>
    <col min="11" max="11" style="26" width="10.005" customWidth="1" bestFit="1"/>
    <col min="12" max="12" style="26" width="10.005" customWidth="1" bestFit="1"/>
    <col min="13" max="13" style="26" width="10.005" customWidth="1" bestFit="1"/>
    <col min="14" max="14" style="26" width="10.005" customWidth="1" bestFit="1"/>
    <col min="15" max="15" style="26" width="10.005" customWidth="1" bestFit="1"/>
    <col min="16" max="16" style="26" width="10.005" customWidth="1" bestFit="1"/>
    <col min="17" max="17" style="26" width="10.005" customWidth="1" bestFit="1"/>
    <col min="18" max="18" style="26" width="10.005" customWidth="1" bestFit="1"/>
    <col min="19" max="19" style="26" width="10.005" customWidth="1" bestFit="1"/>
    <col min="20" max="20" style="26" width="10.005" customWidth="1" bestFit="1"/>
    <col min="21" max="21" style="26" width="10.005" customWidth="1" bestFit="1"/>
    <col min="22" max="22" style="26" width="10.005" customWidth="1" bestFit="1"/>
    <col min="23" max="23" style="26" width="10.005" customWidth="1" bestFit="1"/>
    <col min="24" max="24" style="26" width="10.005" customWidth="1" bestFit="1"/>
    <col min="25" max="25" style="26" width="10.005" customWidth="1" bestFit="1"/>
    <col min="26" max="26" style="26" width="10.005" customWidth="1" bestFit="1"/>
    <col min="27" max="27" style="26" width="10.005" customWidth="1" bestFit="1"/>
    <col min="28" max="28" style="26" width="10.005" customWidth="1" bestFit="1"/>
    <col min="29" max="29" style="26" width="10.005" customWidth="1" bestFit="1"/>
    <col min="30" max="30" style="26" width="10.005" customWidth="1" bestFit="1"/>
    <col min="31" max="31" style="26" width="10.005" customWidth="1" bestFit="1"/>
    <col min="32" max="32" style="26" width="10.005" customWidth="1" bestFit="1"/>
    <col min="33" max="33" style="26" width="13.576428571428572" customWidth="1" bestFit="1" hidden="1"/>
    <col min="34" max="34" style="27" width="12.719285714285713" customWidth="1" bestFit="1"/>
    <col min="35" max="35" style="23" width="3.005" customWidth="1" bestFit="1"/>
    <col min="36" max="36" style="23" width="10.43357142857143" customWidth="1" bestFit="1"/>
    <col min="37" max="37" style="23" width="33.86214285714286" customWidth="1" bestFit="1"/>
    <col min="38" max="38" style="167" width="11.576428571428572" customWidth="1" bestFit="1"/>
    <col min="39" max="39" style="27" width="12.862142857142858" customWidth="1" bestFit="1"/>
    <col min="40" max="40" style="27" width="20.290714285714284" customWidth="1" bestFit="1"/>
  </cols>
  <sheetData>
    <row x14ac:dyDescent="0.25" r="1" customHeight="1" ht="18.75">
      <c r="A1" s="98" t="s">
        <v>0</v>
      </c>
      <c r="B1" s="99">
        <f>'Cash Flow'!C1</f>
      </c>
      <c r="C1" s="100">
        <f>TRANSPOSE('Cash Flow'!B8:B38)</f>
      </c>
      <c r="D1" s="100" t="s">
        <v>123</v>
      </c>
      <c r="E1" s="100" t="s">
        <v>124</v>
      </c>
      <c r="F1" s="100" t="s">
        <v>125</v>
      </c>
      <c r="G1" s="100" t="s">
        <v>126</v>
      </c>
      <c r="H1" s="100" t="s">
        <v>127</v>
      </c>
      <c r="I1" s="100" t="s">
        <v>128</v>
      </c>
      <c r="J1" s="100" t="s">
        <v>129</v>
      </c>
      <c r="K1" s="100" t="s">
        <v>123</v>
      </c>
      <c r="L1" s="100" t="s">
        <v>124</v>
      </c>
      <c r="M1" s="100" t="s">
        <v>125</v>
      </c>
      <c r="N1" s="100" t="s">
        <v>126</v>
      </c>
      <c r="O1" s="100" t="s">
        <v>127</v>
      </c>
      <c r="P1" s="100" t="s">
        <v>128</v>
      </c>
      <c r="Q1" s="100" t="s">
        <v>129</v>
      </c>
      <c r="R1" s="100" t="s">
        <v>123</v>
      </c>
      <c r="S1" s="100" t="s">
        <v>124</v>
      </c>
      <c r="T1" s="100" t="s">
        <v>125</v>
      </c>
      <c r="U1" s="100" t="s">
        <v>126</v>
      </c>
      <c r="V1" s="100" t="s">
        <v>127</v>
      </c>
      <c r="W1" s="100" t="s">
        <v>128</v>
      </c>
      <c r="X1" s="100" t="s">
        <v>129</v>
      </c>
      <c r="Y1" s="100" t="s">
        <v>123</v>
      </c>
      <c r="Z1" s="100" t="s">
        <v>124</v>
      </c>
      <c r="AA1" s="100" t="s">
        <v>125</v>
      </c>
      <c r="AB1" s="100" t="s">
        <v>126</v>
      </c>
      <c r="AC1" s="100" t="s">
        <v>127</v>
      </c>
      <c r="AD1" s="100" t="s">
        <v>128</v>
      </c>
      <c r="AE1" s="100" t="s">
        <v>129</v>
      </c>
      <c r="AF1" s="100" t="s">
        <v>123</v>
      </c>
      <c r="AG1" s="100" t="s">
        <v>124</v>
      </c>
      <c r="AH1" s="5"/>
      <c r="AI1" s="6"/>
      <c r="AJ1" s="6"/>
      <c r="AK1" s="6"/>
      <c r="AL1" s="101"/>
      <c r="AM1" s="5"/>
      <c r="AN1" s="5"/>
    </row>
    <row x14ac:dyDescent="0.25" r="2" customHeight="1" ht="18.75">
      <c r="A2" s="102" t="s">
        <v>130</v>
      </c>
      <c r="B2" s="103" t="s">
        <v>117</v>
      </c>
      <c r="C2" s="104">
        <f>'Cash Flow'!A8</f>
        <v>25568.708333333332</v>
      </c>
      <c r="D2" s="104">
        <f>C2+1</f>
        <v>25568.708333333332</v>
      </c>
      <c r="E2" s="104">
        <f>D2+1</f>
        <v>25568.708333333332</v>
      </c>
      <c r="F2" s="104">
        <f>E2+1</f>
        <v>25568.708333333332</v>
      </c>
      <c r="G2" s="104">
        <f>F2+1</f>
        <v>25568.708333333332</v>
      </c>
      <c r="H2" s="104">
        <f>G2+1</f>
        <v>25568.708333333332</v>
      </c>
      <c r="I2" s="104">
        <f>H2+1</f>
        <v>25568.708333333332</v>
      </c>
      <c r="J2" s="104">
        <f>I2+1</f>
        <v>25568.708333333332</v>
      </c>
      <c r="K2" s="104">
        <f>J2+1</f>
        <v>25568.708333333332</v>
      </c>
      <c r="L2" s="104">
        <f>K2+1</f>
        <v>25568.708333333332</v>
      </c>
      <c r="M2" s="104">
        <f>L2+1</f>
        <v>25568.708333333332</v>
      </c>
      <c r="N2" s="104">
        <f>M2+1</f>
        <v>25568.708333333332</v>
      </c>
      <c r="O2" s="104">
        <f>N2+1</f>
        <v>25568.708333333332</v>
      </c>
      <c r="P2" s="104">
        <f>O2+1</f>
        <v>25568.708333333332</v>
      </c>
      <c r="Q2" s="104">
        <f>P2+1</f>
        <v>25568.708333333332</v>
      </c>
      <c r="R2" s="104">
        <f>Q2+1</f>
        <v>25568.708333333332</v>
      </c>
      <c r="S2" s="104">
        <f>R2+1</f>
        <v>25568.708333333332</v>
      </c>
      <c r="T2" s="104">
        <f>S2+1</f>
        <v>25568.708333333332</v>
      </c>
      <c r="U2" s="104">
        <f>T2+1</f>
        <v>25568.708333333332</v>
      </c>
      <c r="V2" s="104">
        <f>U2+1</f>
        <v>25568.708333333332</v>
      </c>
      <c r="W2" s="104">
        <f>V2+1</f>
        <v>25568.708333333332</v>
      </c>
      <c r="X2" s="104">
        <f>W2+1</f>
        <v>25568.708333333332</v>
      </c>
      <c r="Y2" s="104">
        <f>X2+1</f>
        <v>25568.708333333332</v>
      </c>
      <c r="Z2" s="104">
        <f>Y2+1</f>
        <v>25568.708333333332</v>
      </c>
      <c r="AA2" s="104">
        <f>Z2+1</f>
        <v>25568.708333333332</v>
      </c>
      <c r="AB2" s="104">
        <f>AA2+1</f>
        <v>25568.708333333332</v>
      </c>
      <c r="AC2" s="104">
        <f>AB2+1</f>
        <v>25568.708333333332</v>
      </c>
      <c r="AD2" s="104">
        <f>AC2+1</f>
        <v>25568.708333333332</v>
      </c>
      <c r="AE2" s="104">
        <f>AD2+1</f>
        <v>25568.708333333332</v>
      </c>
      <c r="AF2" s="104">
        <f>AE2+1</f>
        <v>25568.708333333332</v>
      </c>
      <c r="AG2" s="104">
        <f>AF2+1</f>
        <v>25568.708333333332</v>
      </c>
      <c r="AH2" s="105" t="s">
        <v>131</v>
      </c>
      <c r="AI2" s="71"/>
      <c r="AJ2" s="102" t="s">
        <v>130</v>
      </c>
      <c r="AK2" s="103" t="s">
        <v>117</v>
      </c>
      <c r="AL2" s="101"/>
      <c r="AM2" s="5"/>
      <c r="AN2" s="5"/>
    </row>
    <row x14ac:dyDescent="0.25" r="3" customHeight="1" ht="18.75">
      <c r="A3" s="106" t="s">
        <v>1</v>
      </c>
      <c r="B3" s="107" t="s">
        <v>85</v>
      </c>
      <c r="C3" s="108">
        <v>13.32</v>
      </c>
      <c r="D3" s="109">
        <v>15.5</v>
      </c>
      <c r="E3" s="109">
        <v>10.47</v>
      </c>
      <c r="F3" s="109">
        <v>13.18</v>
      </c>
      <c r="G3" s="109">
        <v>6.73</v>
      </c>
      <c r="H3" s="109"/>
      <c r="I3" s="109">
        <v>14.04</v>
      </c>
      <c r="J3" s="109">
        <v>12.76</v>
      </c>
      <c r="K3" s="109">
        <v>8.46</v>
      </c>
      <c r="L3" s="109">
        <v>11.66</v>
      </c>
      <c r="M3" s="109">
        <v>5.3</v>
      </c>
      <c r="N3" s="109">
        <v>8.03</v>
      </c>
      <c r="O3" s="109">
        <v>7.32</v>
      </c>
      <c r="P3" s="109">
        <v>17.66</v>
      </c>
      <c r="Q3" s="109">
        <v>9.34</v>
      </c>
      <c r="R3" s="109">
        <v>15.64</v>
      </c>
      <c r="S3" s="109">
        <v>17.34</v>
      </c>
      <c r="T3" s="109">
        <v>11.08</v>
      </c>
      <c r="U3" s="109">
        <v>16.19</v>
      </c>
      <c r="V3" s="109">
        <v>9.52</v>
      </c>
      <c r="W3" s="109">
        <v>2.93</v>
      </c>
      <c r="X3" s="109">
        <v>9.34</v>
      </c>
      <c r="Y3" s="109">
        <v>3.97</v>
      </c>
      <c r="Z3" s="109">
        <v>7.52</v>
      </c>
      <c r="AA3" s="109">
        <v>3.49</v>
      </c>
      <c r="AB3" s="109">
        <v>6.67</v>
      </c>
      <c r="AC3" s="109">
        <v>12.78</v>
      </c>
      <c r="AD3" s="109">
        <v>7.32</v>
      </c>
      <c r="AE3" s="109">
        <v>5.27</v>
      </c>
      <c r="AF3" s="109">
        <v>4.07</v>
      </c>
      <c r="AG3" s="109"/>
      <c r="AH3" s="110">
        <f>SUM(C3:AG3)</f>
      </c>
      <c r="AI3" s="6"/>
      <c r="AJ3" s="106" t="s">
        <v>1</v>
      </c>
      <c r="AK3" s="107" t="s">
        <v>85</v>
      </c>
      <c r="AL3" s="22"/>
      <c r="AM3" s="22"/>
      <c r="AN3" s="5"/>
    </row>
    <row x14ac:dyDescent="0.25" r="4" customHeight="1" ht="18.75">
      <c r="A4" s="111" t="s">
        <v>3</v>
      </c>
      <c r="B4" s="112" t="s">
        <v>4</v>
      </c>
      <c r="C4" s="113">
        <v>140.99</v>
      </c>
      <c r="D4" s="114">
        <v>163.97</v>
      </c>
      <c r="E4" s="113">
        <v>110.49</v>
      </c>
      <c r="F4" s="113">
        <v>139.49</v>
      </c>
      <c r="G4" s="113">
        <v>71</v>
      </c>
      <c r="H4" s="113"/>
      <c r="I4" s="113">
        <v>148.44</v>
      </c>
      <c r="J4" s="113">
        <v>135</v>
      </c>
      <c r="K4" s="113">
        <v>89.48</v>
      </c>
      <c r="L4" s="113">
        <v>123.5</v>
      </c>
      <c r="M4" s="113">
        <v>56</v>
      </c>
      <c r="N4" s="113">
        <v>85</v>
      </c>
      <c r="O4" s="113">
        <v>77.5</v>
      </c>
      <c r="P4" s="113">
        <v>186.91</v>
      </c>
      <c r="Q4" s="113">
        <v>98.93</v>
      </c>
      <c r="R4" s="113">
        <v>165.49</v>
      </c>
      <c r="S4" s="113">
        <v>183.39</v>
      </c>
      <c r="T4" s="113">
        <v>117.44</v>
      </c>
      <c r="U4" s="113">
        <v>171.4</v>
      </c>
      <c r="V4" s="113">
        <v>100.5</v>
      </c>
      <c r="W4" s="113">
        <v>30.95</v>
      </c>
      <c r="X4" s="113">
        <v>98.99</v>
      </c>
      <c r="Y4" s="113">
        <v>41.99</v>
      </c>
      <c r="Z4" s="113">
        <v>79.49</v>
      </c>
      <c r="AA4" s="113">
        <v>36.99</v>
      </c>
      <c r="AB4" s="113">
        <v>70.5</v>
      </c>
      <c r="AC4" s="113">
        <v>135.5</v>
      </c>
      <c r="AD4" s="113">
        <v>77.49</v>
      </c>
      <c r="AE4" s="113">
        <v>55.93</v>
      </c>
      <c r="AF4" s="113">
        <v>43</v>
      </c>
      <c r="AG4" s="113"/>
      <c r="AH4" s="110">
        <f>SUM(C4:AG4)</f>
      </c>
      <c r="AI4" s="6"/>
      <c r="AJ4" s="111" t="s">
        <v>3</v>
      </c>
      <c r="AK4" s="112" t="s">
        <v>4</v>
      </c>
      <c r="AL4" s="22"/>
      <c r="AM4" s="22"/>
      <c r="AN4" s="5"/>
    </row>
    <row x14ac:dyDescent="0.25" r="5" customHeight="1" ht="18.75">
      <c r="A5" s="106" t="s">
        <v>3</v>
      </c>
      <c r="B5" s="107" t="s">
        <v>5</v>
      </c>
      <c r="C5" s="108">
        <v>26</v>
      </c>
      <c r="D5" s="109"/>
      <c r="E5" s="108"/>
      <c r="F5" s="108"/>
      <c r="G5" s="108">
        <v>30</v>
      </c>
      <c r="H5" s="108"/>
      <c r="I5" s="108">
        <v>26</v>
      </c>
      <c r="J5" s="108">
        <v>1</v>
      </c>
      <c r="K5" s="108">
        <v>75</v>
      </c>
      <c r="L5" s="108">
        <v>2</v>
      </c>
      <c r="M5" s="108"/>
      <c r="N5" s="108"/>
      <c r="O5" s="108">
        <v>100</v>
      </c>
      <c r="P5" s="108"/>
      <c r="Q5" s="108"/>
      <c r="R5" s="108">
        <v>1</v>
      </c>
      <c r="S5" s="108"/>
      <c r="T5" s="108">
        <v>52</v>
      </c>
      <c r="U5" s="108">
        <v>91</v>
      </c>
      <c r="V5" s="108">
        <v>31</v>
      </c>
      <c r="W5" s="108">
        <v>2</v>
      </c>
      <c r="X5" s="108"/>
      <c r="Y5" s="108">
        <v>35</v>
      </c>
      <c r="Z5" s="108"/>
      <c r="AA5" s="108"/>
      <c r="AB5" s="108">
        <v>1</v>
      </c>
      <c r="AC5" s="108"/>
      <c r="AD5" s="108"/>
      <c r="AE5" s="108"/>
      <c r="AF5" s="108">
        <v>25</v>
      </c>
      <c r="AG5" s="108"/>
      <c r="AH5" s="110">
        <f>SUM(C5:AG5)</f>
      </c>
      <c r="AI5" s="6"/>
      <c r="AJ5" s="106" t="s">
        <v>3</v>
      </c>
      <c r="AK5" s="107" t="s">
        <v>5</v>
      </c>
      <c r="AL5" s="22"/>
      <c r="AM5" s="22"/>
      <c r="AN5" s="5"/>
    </row>
    <row x14ac:dyDescent="0.25" r="6" customHeight="1" ht="18.75">
      <c r="A6" s="106" t="s">
        <v>3</v>
      </c>
      <c r="B6" s="107" t="s">
        <v>6</v>
      </c>
      <c r="C6" s="108">
        <v>25.25</v>
      </c>
      <c r="D6" s="109">
        <v>25.25</v>
      </c>
      <c r="E6" s="108">
        <v>25.25</v>
      </c>
      <c r="F6" s="108">
        <v>25.25</v>
      </c>
      <c r="G6" s="108"/>
      <c r="H6" s="108"/>
      <c r="I6" s="108">
        <v>50.5</v>
      </c>
      <c r="J6" s="108"/>
      <c r="K6" s="108">
        <v>25.25</v>
      </c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>
        <v>25.25</v>
      </c>
      <c r="Y6" s="108">
        <v>25.25</v>
      </c>
      <c r="Z6" s="108"/>
      <c r="AA6" s="108"/>
      <c r="AB6" s="108"/>
      <c r="AC6" s="108"/>
      <c r="AD6" s="108">
        <v>75.75</v>
      </c>
      <c r="AE6" s="108"/>
      <c r="AF6" s="108">
        <v>25.25</v>
      </c>
      <c r="AG6" s="108"/>
      <c r="AH6" s="110">
        <f>SUM(C6:AG6)</f>
      </c>
      <c r="AI6" s="6"/>
      <c r="AJ6" s="106" t="s">
        <v>3</v>
      </c>
      <c r="AK6" s="107" t="s">
        <v>6</v>
      </c>
      <c r="AL6" s="22"/>
      <c r="AM6" s="22"/>
      <c r="AN6" s="5"/>
    </row>
    <row x14ac:dyDescent="0.25" r="7" customHeight="1" ht="18.75">
      <c r="A7" s="115"/>
      <c r="B7" s="9" t="s">
        <v>9</v>
      </c>
      <c r="C7" s="116">
        <f>SUM(C3:C6)</f>
      </c>
      <c r="D7" s="116">
        <f>SUM(D3:D6)</f>
      </c>
      <c r="E7" s="116">
        <f>SUM(E3:E6)</f>
      </c>
      <c r="F7" s="116">
        <f>SUM(F3:F6)</f>
      </c>
      <c r="G7" s="116">
        <f>SUM(G3:G6)</f>
      </c>
      <c r="H7" s="116">
        <f>SUM(H3:H6)</f>
      </c>
      <c r="I7" s="116">
        <f>SUM(I3:I6)</f>
      </c>
      <c r="J7" s="116">
        <f>SUM(J3:J6)</f>
      </c>
      <c r="K7" s="116">
        <f>SUM(K3:K6)</f>
      </c>
      <c r="L7" s="116">
        <f>SUM(L3:L6)</f>
      </c>
      <c r="M7" s="116">
        <f>SUM(M3:M6)</f>
      </c>
      <c r="N7" s="116">
        <f>SUM(N3:N6)</f>
      </c>
      <c r="O7" s="116">
        <f>SUM(O3:O6)</f>
      </c>
      <c r="P7" s="116">
        <f>SUM(P3:P6)</f>
      </c>
      <c r="Q7" s="116">
        <f>SUM(Q3:Q6)</f>
      </c>
      <c r="R7" s="116">
        <f>SUM(R3:R6)</f>
      </c>
      <c r="S7" s="116">
        <f>SUM(S3:S6)</f>
      </c>
      <c r="T7" s="116">
        <f>SUM(T3:T6)</f>
      </c>
      <c r="U7" s="116">
        <f>SUM(U3:U6)</f>
      </c>
      <c r="V7" s="116">
        <f>SUM(V3:V6)</f>
      </c>
      <c r="W7" s="116">
        <f>SUM(W3:W6)</f>
      </c>
      <c r="X7" s="116">
        <f>SUM(X3:X6)</f>
      </c>
      <c r="Y7" s="116">
        <f>SUM(Y3:Y6)</f>
      </c>
      <c r="Z7" s="116">
        <f>SUM(Z3:Z6)</f>
      </c>
      <c r="AA7" s="116">
        <f>SUM(AA3:AA6)</f>
      </c>
      <c r="AB7" s="116">
        <f>SUM(AB3:AB6)</f>
      </c>
      <c r="AC7" s="116">
        <f>SUM(AC3:AC6)</f>
      </c>
      <c r="AD7" s="116">
        <f>SUM(AD3:AD6)</f>
      </c>
      <c r="AE7" s="116">
        <f>SUM(AE3:AE6)</f>
      </c>
      <c r="AF7" s="116">
        <f>SUM(AF3:AF6)</f>
      </c>
      <c r="AG7" s="116">
        <f>SUM(AG3:AG6)</f>
      </c>
      <c r="AH7" s="117">
        <f>SUM(C3:AG6)</f>
      </c>
      <c r="AI7" s="118"/>
      <c r="AJ7" s="119"/>
      <c r="AK7" s="120" t="s">
        <v>9</v>
      </c>
      <c r="AL7" s="101"/>
      <c r="AM7" s="5"/>
      <c r="AN7" s="5"/>
    </row>
    <row x14ac:dyDescent="0.25" r="8" customHeight="1" ht="18.75">
      <c r="A8" s="121"/>
      <c r="B8" s="122"/>
      <c r="C8" s="123"/>
      <c r="D8" s="124"/>
      <c r="E8" s="124"/>
      <c r="F8" s="124"/>
      <c r="G8" s="124"/>
      <c r="H8" s="125"/>
      <c r="I8" s="124"/>
      <c r="J8" s="124"/>
      <c r="K8" s="124"/>
      <c r="L8" s="124"/>
      <c r="M8" s="124"/>
      <c r="N8" s="124"/>
      <c r="O8" s="124"/>
      <c r="P8" s="124"/>
      <c r="Q8" s="124"/>
      <c r="R8" s="123"/>
      <c r="S8" s="124"/>
      <c r="T8" s="124"/>
      <c r="U8" s="124"/>
      <c r="V8" s="124"/>
      <c r="W8" s="124"/>
      <c r="X8" s="124"/>
      <c r="Y8" s="123"/>
      <c r="Z8" s="124"/>
      <c r="AA8" s="124"/>
      <c r="AB8" s="124"/>
      <c r="AC8" s="124"/>
      <c r="AD8" s="124"/>
      <c r="AE8" s="124"/>
      <c r="AF8" s="124"/>
      <c r="AG8" s="124"/>
      <c r="AH8" s="126"/>
      <c r="AI8" s="6"/>
      <c r="AJ8" s="127" t="s">
        <v>130</v>
      </c>
      <c r="AK8" s="128" t="s">
        <v>117</v>
      </c>
      <c r="AL8" s="129" t="s">
        <v>132</v>
      </c>
      <c r="AM8" s="130" t="s">
        <v>133</v>
      </c>
      <c r="AN8" s="5"/>
    </row>
    <row x14ac:dyDescent="0.25" r="9" customHeight="1" ht="18.75">
      <c r="A9" s="8" t="s">
        <v>10</v>
      </c>
      <c r="B9" s="9" t="s">
        <v>134</v>
      </c>
      <c r="C9" s="131"/>
      <c r="D9" s="131">
        <v>6.55</v>
      </c>
      <c r="E9" s="131">
        <v>24.64</v>
      </c>
      <c r="F9" s="131">
        <v>29.08</v>
      </c>
      <c r="G9" s="131">
        <v>45.33</v>
      </c>
      <c r="H9" s="131"/>
      <c r="I9" s="131">
        <v>140.55</v>
      </c>
      <c r="J9" s="131">
        <v>9.76</v>
      </c>
      <c r="K9" s="131">
        <v>41.12</v>
      </c>
      <c r="L9" s="131">
        <v>89.55</v>
      </c>
      <c r="M9" s="131">
        <v>33.94</v>
      </c>
      <c r="N9" s="131">
        <v>3.28</v>
      </c>
      <c r="O9" s="131">
        <v>12.04</v>
      </c>
      <c r="P9" s="131">
        <v>39.39</v>
      </c>
      <c r="Q9" s="131">
        <v>31.72</v>
      </c>
      <c r="R9" s="131">
        <v>49.16</v>
      </c>
      <c r="S9" s="131">
        <v>78.73</v>
      </c>
      <c r="T9" s="131">
        <v>7.47</v>
      </c>
      <c r="U9" s="131">
        <v>1</v>
      </c>
      <c r="V9" s="131">
        <f>65.04+7</f>
      </c>
      <c r="W9" s="132">
        <v>4.19</v>
      </c>
      <c r="X9" s="132">
        <v>13.13</v>
      </c>
      <c r="Y9" s="132">
        <v>25.25</v>
      </c>
      <c r="Z9" s="132">
        <v>2.19</v>
      </c>
      <c r="AA9" s="132">
        <v>4.38</v>
      </c>
      <c r="AB9" s="132">
        <v>40.96</v>
      </c>
      <c r="AC9" s="132">
        <v>50.89</v>
      </c>
      <c r="AD9" s="132">
        <v>65.87</v>
      </c>
      <c r="AE9" s="132">
        <v>13.13</v>
      </c>
      <c r="AF9" s="132">
        <v>28.46</v>
      </c>
      <c r="AG9" s="132"/>
      <c r="AH9" s="133">
        <f>SUM(C9:AG9)</f>
      </c>
      <c r="AI9" s="6"/>
      <c r="AJ9" s="56" t="s">
        <v>10</v>
      </c>
      <c r="AK9" s="57" t="s">
        <v>135</v>
      </c>
      <c r="AL9" s="134">
        <f>SUM(C9:V9)</f>
      </c>
      <c r="AM9" s="135">
        <f>SUM(W9:AG9)</f>
      </c>
      <c r="AN9" s="5"/>
    </row>
    <row x14ac:dyDescent="0.25" r="10" customHeight="1" ht="18.75">
      <c r="A10" s="11" t="s">
        <v>10</v>
      </c>
      <c r="B10" s="12" t="s">
        <v>136</v>
      </c>
      <c r="C10" s="136">
        <v>205.56</v>
      </c>
      <c r="D10" s="136">
        <v>198.17</v>
      </c>
      <c r="E10" s="136">
        <v>121.57</v>
      </c>
      <c r="F10" s="136">
        <v>148.84</v>
      </c>
      <c r="G10" s="136">
        <v>62.4</v>
      </c>
      <c r="H10" s="136"/>
      <c r="I10" s="136">
        <v>98.43</v>
      </c>
      <c r="J10" s="136">
        <v>139</v>
      </c>
      <c r="K10" s="136">
        <v>157.07</v>
      </c>
      <c r="L10" s="136">
        <v>47.61</v>
      </c>
      <c r="M10" s="136">
        <v>27.36</v>
      </c>
      <c r="N10" s="136">
        <v>89.75</v>
      </c>
      <c r="O10" s="136">
        <v>172.78</v>
      </c>
      <c r="P10" s="136">
        <v>165.18</v>
      </c>
      <c r="Q10" s="136">
        <v>76.55</v>
      </c>
      <c r="R10" s="136">
        <v>132.97</v>
      </c>
      <c r="S10" s="136">
        <v>122</v>
      </c>
      <c r="T10" s="136">
        <v>173.05</v>
      </c>
      <c r="U10" s="136">
        <v>277.59</v>
      </c>
      <c r="V10" s="136">
        <v>75.98</v>
      </c>
      <c r="W10" s="136">
        <v>31.69</v>
      </c>
      <c r="X10" s="136">
        <v>120.45</v>
      </c>
      <c r="Y10" s="136">
        <v>80.96</v>
      </c>
      <c r="Z10" s="137">
        <v>84.82</v>
      </c>
      <c r="AA10" s="137">
        <v>36.1</v>
      </c>
      <c r="AB10" s="137">
        <v>37.21</v>
      </c>
      <c r="AC10" s="137">
        <v>97.39</v>
      </c>
      <c r="AD10" s="137">
        <v>94.74</v>
      </c>
      <c r="AE10" s="137">
        <v>48.07</v>
      </c>
      <c r="AF10" s="137">
        <v>68.86</v>
      </c>
      <c r="AG10" s="137"/>
      <c r="AH10" s="138">
        <f>SUM(C10:AG10)</f>
      </c>
      <c r="AI10" s="6"/>
      <c r="AJ10" s="11" t="s">
        <v>10</v>
      </c>
      <c r="AK10" s="12" t="s">
        <v>137</v>
      </c>
      <c r="AL10" s="139">
        <f>SUM(C10:Y10)-AL15</f>
      </c>
      <c r="AM10" s="65">
        <f>SUM(Z10:AG10)-AM15</f>
      </c>
      <c r="AN10" s="5"/>
    </row>
    <row x14ac:dyDescent="0.25" r="11" customHeight="1" ht="18.75">
      <c r="A11" s="140"/>
      <c r="B11" s="141" t="s">
        <v>17</v>
      </c>
      <c r="C11" s="116">
        <f>SUM(C9:C10)</f>
      </c>
      <c r="D11" s="116">
        <f>SUM(D9:D10)</f>
      </c>
      <c r="E11" s="116">
        <f>SUM(E9:E10)</f>
      </c>
      <c r="F11" s="116">
        <f>SUM(F9:F10)</f>
      </c>
      <c r="G11" s="116">
        <f>SUM(G9:G10)</f>
      </c>
      <c r="H11" s="116">
        <f>SUM(H9:H10)</f>
      </c>
      <c r="I11" s="116">
        <f>SUM(I9:I10)</f>
      </c>
      <c r="J11" s="116">
        <f>SUM(J9:J10)</f>
      </c>
      <c r="K11" s="116">
        <f>SUM(K9:K10)</f>
      </c>
      <c r="L11" s="116">
        <f>SUM(L9:L10)</f>
      </c>
      <c r="M11" s="116">
        <f>SUM(M9:M10)</f>
      </c>
      <c r="N11" s="116">
        <f>SUM(N9:N10)</f>
      </c>
      <c r="O11" s="116">
        <f>SUM(O9:O10)</f>
      </c>
      <c r="P11" s="116">
        <f>SUM(P9:P10)</f>
      </c>
      <c r="Q11" s="116">
        <f>SUM(Q9:Q10)</f>
      </c>
      <c r="R11" s="116">
        <f>SUM(R9:R10)</f>
      </c>
      <c r="S11" s="116">
        <f>SUM(S9:S10)</f>
      </c>
      <c r="T11" s="116">
        <f>SUM(T9:T10)</f>
      </c>
      <c r="U11" s="116">
        <f>SUM(U9:U10)</f>
      </c>
      <c r="V11" s="116">
        <f>SUM(V9:V10)</f>
      </c>
      <c r="W11" s="116">
        <f>SUM(W9:W10)</f>
      </c>
      <c r="X11" s="116">
        <f>SUM(X9:X10)</f>
      </c>
      <c r="Y11" s="116">
        <f>SUM(Y9:Y10)</f>
      </c>
      <c r="Z11" s="116">
        <f>SUM(Z9:Z10)</f>
      </c>
      <c r="AA11" s="116">
        <f>SUM(AA9:AA10)</f>
      </c>
      <c r="AB11" s="116">
        <f>SUM(AB9:AB10)</f>
      </c>
      <c r="AC11" s="116">
        <f>SUM(AC9:AC10)</f>
      </c>
      <c r="AD11" s="116">
        <f>SUM(AD9:AD10)</f>
      </c>
      <c r="AE11" s="116">
        <f>SUM(AE9:AE10)</f>
      </c>
      <c r="AF11" s="116">
        <f>SUM(AF9:AF10)</f>
      </c>
      <c r="AG11" s="116">
        <f>SUM(AG9:AG10)</f>
      </c>
      <c r="AH11" s="133">
        <f>SUM(C11:AG11)</f>
      </c>
      <c r="AI11" s="6"/>
      <c r="AJ11" s="142" t="s">
        <v>44</v>
      </c>
      <c r="AK11" s="143"/>
      <c r="AL11" s="144">
        <f>SUM(AL9:AM10)</f>
      </c>
      <c r="AM11" s="145"/>
      <c r="AN11" s="146">
        <f>AL11-(AH11+AL13-AL15-AM15)</f>
      </c>
    </row>
    <row x14ac:dyDescent="0.25" r="12" customHeight="1" ht="18.75">
      <c r="A12" s="147"/>
      <c r="B12" s="148"/>
      <c r="C12" s="149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1"/>
      <c r="AI12" s="6"/>
      <c r="AJ12" s="118"/>
      <c r="AK12" s="118"/>
      <c r="AL12" s="101"/>
      <c r="AM12" s="152"/>
      <c r="AN12" s="21"/>
    </row>
    <row x14ac:dyDescent="0.25" r="13" customHeight="1" ht="18.75">
      <c r="A13" s="119" t="s">
        <v>7</v>
      </c>
      <c r="B13" s="153" t="s">
        <v>138</v>
      </c>
      <c r="C13" s="154">
        <f>SUM(C3:C6)-SUM(C9:C10)</f>
      </c>
      <c r="D13" s="154">
        <f>SUM(D3:D6)-SUM(D9:D10)</f>
      </c>
      <c r="E13" s="154">
        <f>SUM(E3:E6)-SUM(E9:E10)</f>
      </c>
      <c r="F13" s="154">
        <f>SUM(F3:F6)-SUM(F9:F10)</f>
      </c>
      <c r="G13" s="154">
        <f>SUM(G3:G6)-SUM(G9:G10)</f>
      </c>
      <c r="H13" s="154">
        <f>SUM(H3:H6)-SUM(H9:H10)</f>
      </c>
      <c r="I13" s="154">
        <f>SUM(I3:I6)-SUM(I9:I10)</f>
      </c>
      <c r="J13" s="154">
        <f>SUM(J3:J6)-SUM(J9:J10)</f>
      </c>
      <c r="K13" s="154">
        <f>SUM(K3:K6)-SUM(K9:K10)</f>
      </c>
      <c r="L13" s="154">
        <f>SUM(L3:L6)-SUM(L9:L10)</f>
      </c>
      <c r="M13" s="154">
        <f>SUM(M3:M6)-SUM(M9:M10)</f>
      </c>
      <c r="N13" s="154">
        <f>SUM(N3:N6)-SUM(N9:N10)</f>
      </c>
      <c r="O13" s="154">
        <f>SUM(O3:O6)-SUM(O9:O10)</f>
      </c>
      <c r="P13" s="154">
        <f>SUM(P3:P6)-SUM(P9:P10)</f>
      </c>
      <c r="Q13" s="154">
        <f>SUM(Q3:Q6)-SUM(Q9:Q10)</f>
      </c>
      <c r="R13" s="154">
        <f>SUM(R3:R6)-SUM(R9:R10)</f>
      </c>
      <c r="S13" s="154">
        <f>SUM(S3:S6)-SUM(S9:S10)</f>
      </c>
      <c r="T13" s="154">
        <f>SUM(T3:T6)-SUM(T9:T10)</f>
      </c>
      <c r="U13" s="154">
        <f>SUM(U3:U6)-SUM(U9:U10)</f>
      </c>
      <c r="V13" s="154">
        <f>SUM(V3:V6)-SUM(V9:V10)</f>
      </c>
      <c r="W13" s="154">
        <f>SUM(W3:W6)-SUM(W9:W10)</f>
      </c>
      <c r="X13" s="154">
        <f>SUM(X3:X6)-SUM(X9:X10)</f>
      </c>
      <c r="Y13" s="154">
        <f>SUM(Y3:Y6)-SUM(Y9:Y10)</f>
      </c>
      <c r="Z13" s="154">
        <f>SUM(Z3:Z6)-SUM(Z9:Z10)</f>
      </c>
      <c r="AA13" s="154">
        <f>SUM(AA3:AA6)-SUM(AA9:AA10)</f>
      </c>
      <c r="AB13" s="154">
        <f>SUM(AB3:AB6)-SUM(AB9:AB10)</f>
      </c>
      <c r="AC13" s="154">
        <f>SUM(AC3:AC6)-SUM(AC9:AC10)</f>
      </c>
      <c r="AD13" s="154">
        <f>SUM(AD3:AD6)-SUM(AD9:AD10)</f>
      </c>
      <c r="AE13" s="154">
        <f>SUM(AE3:AE6)-SUM(AE9:AE10)</f>
      </c>
      <c r="AF13" s="154">
        <f>SUM(AF3:AF6)-SUM(AF9:AF10)</f>
      </c>
      <c r="AG13" s="154">
        <f>SUM(AG3:AG6)-SUM(AG9:AG10)</f>
      </c>
      <c r="AH13" s="155">
        <f>SUM(C13:AG13)</f>
      </c>
      <c r="AI13" s="71"/>
      <c r="AJ13" s="83" t="s">
        <v>7</v>
      </c>
      <c r="AK13" s="156" t="s">
        <v>8</v>
      </c>
      <c r="AL13" s="157">
        <f>AH13</f>
      </c>
      <c r="AM13" s="158"/>
      <c r="AN13" s="159" t="s">
        <v>139</v>
      </c>
    </row>
    <row x14ac:dyDescent="0.25" r="14" customHeight="1" ht="18.75">
      <c r="A14" s="160"/>
      <c r="B14" s="148"/>
      <c r="C14" s="150"/>
      <c r="D14" s="150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1"/>
      <c r="AI14" s="71"/>
      <c r="AJ14" s="6"/>
      <c r="AK14" s="148"/>
      <c r="AL14" s="101"/>
      <c r="AM14" s="161">
        <f>AL11+AL13+AM13+AL15+AM15</f>
      </c>
      <c r="AN14" s="162">
        <f>AM14-AH7</f>
      </c>
    </row>
    <row x14ac:dyDescent="0.25" r="15" customHeight="1" ht="18.75">
      <c r="A15" s="83" t="s">
        <v>15</v>
      </c>
      <c r="B15" s="153" t="s">
        <v>140</v>
      </c>
      <c r="C15" s="163">
        <v>6.4</v>
      </c>
      <c r="D15" s="163">
        <v>6.19</v>
      </c>
      <c r="E15" s="163">
        <v>3.79</v>
      </c>
      <c r="F15" s="163">
        <v>4.65</v>
      </c>
      <c r="G15" s="163">
        <v>1.94</v>
      </c>
      <c r="H15" s="163"/>
      <c r="I15" s="163">
        <v>3.08</v>
      </c>
      <c r="J15" s="163">
        <v>4.34</v>
      </c>
      <c r="K15" s="163">
        <v>4.89</v>
      </c>
      <c r="L15" s="163">
        <v>1.48</v>
      </c>
      <c r="M15" s="163">
        <v>0.85</v>
      </c>
      <c r="N15" s="163">
        <v>2.8</v>
      </c>
      <c r="O15" s="163">
        <v>5.39</v>
      </c>
      <c r="P15" s="163">
        <v>5.14</v>
      </c>
      <c r="Q15" s="163">
        <v>2.39</v>
      </c>
      <c r="R15" s="163">
        <v>4.16</v>
      </c>
      <c r="S15" s="163">
        <v>3.8</v>
      </c>
      <c r="T15" s="163">
        <v>5.4</v>
      </c>
      <c r="U15" s="163">
        <v>8.66</v>
      </c>
      <c r="V15" s="163">
        <v>2.38</v>
      </c>
      <c r="W15" s="163">
        <v>0.99</v>
      </c>
      <c r="X15" s="163">
        <v>3.75</v>
      </c>
      <c r="Y15" s="163">
        <v>2.52</v>
      </c>
      <c r="Z15" s="164">
        <v>2.64</v>
      </c>
      <c r="AA15" s="164">
        <v>1.12</v>
      </c>
      <c r="AB15" s="164">
        <v>1.16</v>
      </c>
      <c r="AC15" s="164">
        <v>3.03</v>
      </c>
      <c r="AD15" s="164">
        <v>2.96</v>
      </c>
      <c r="AE15" s="164">
        <v>1.5</v>
      </c>
      <c r="AF15" s="164">
        <v>2.15</v>
      </c>
      <c r="AG15" s="165"/>
      <c r="AH15" s="155">
        <f>SUM(C15:AG15)</f>
      </c>
      <c r="AI15" s="71"/>
      <c r="AJ15" s="83" t="s">
        <v>15</v>
      </c>
      <c r="AK15" s="156" t="s">
        <v>108</v>
      </c>
      <c r="AL15" s="157">
        <f>SUM(C15:Y15)</f>
      </c>
      <c r="AM15" s="158">
        <f>SUM(Z15:AG15)</f>
      </c>
      <c r="AN15" s="166"/>
    </row>
    <row x14ac:dyDescent="0.25" r="16" customHeight="1" ht="18.75">
      <c r="A16" s="160"/>
      <c r="B16" s="148" t="s">
        <v>141</v>
      </c>
      <c r="C16" s="149">
        <f>C10-C15</f>
      </c>
      <c r="D16" s="149">
        <f>D10-D15</f>
      </c>
      <c r="E16" s="149">
        <f>E10-E15</f>
      </c>
      <c r="F16" s="149">
        <f>F10-F15</f>
      </c>
      <c r="G16" s="149">
        <f>G10-G15</f>
      </c>
      <c r="H16" s="149">
        <f>H10-H15</f>
      </c>
      <c r="I16" s="149">
        <f>I10-I15</f>
      </c>
      <c r="J16" s="149">
        <f>J10-J15</f>
      </c>
      <c r="K16" s="149">
        <f>K10-K15</f>
      </c>
      <c r="L16" s="149">
        <f>L10-L15</f>
      </c>
      <c r="M16" s="149">
        <f>M10-M15</f>
      </c>
      <c r="N16" s="149">
        <f>N10-N15</f>
      </c>
      <c r="O16" s="149">
        <f>O10-O15</f>
      </c>
      <c r="P16" s="149">
        <f>P10-P15</f>
      </c>
      <c r="Q16" s="149">
        <f>Q10-Q15</f>
      </c>
      <c r="R16" s="149">
        <f>R10-R15</f>
      </c>
      <c r="S16" s="149">
        <f>S10-S15</f>
      </c>
      <c r="T16" s="149">
        <f>T10-T15</f>
      </c>
      <c r="U16" s="149">
        <f>U10-U15</f>
      </c>
      <c r="V16" s="149">
        <f>V10-V15</f>
      </c>
      <c r="W16" s="149">
        <f>W10-W15</f>
      </c>
      <c r="X16" s="149">
        <f>X10-X15</f>
      </c>
      <c r="Y16" s="149">
        <f>Y10-Y15</f>
      </c>
      <c r="Z16" s="149">
        <f>Z10-Z15</f>
      </c>
      <c r="AA16" s="149">
        <f>AA10-AA15</f>
      </c>
      <c r="AB16" s="149">
        <f>AB10-AB15</f>
      </c>
      <c r="AC16" s="149">
        <f>AC10-AC15</f>
      </c>
      <c r="AD16" s="149">
        <f>AD10-AD15</f>
      </c>
      <c r="AE16" s="149">
        <f>AE10-AE15</f>
      </c>
      <c r="AF16" s="149">
        <f>AF10-AF15</f>
      </c>
      <c r="AG16" s="149">
        <f>AG10-AG15</f>
      </c>
      <c r="AH16" s="151"/>
      <c r="AI16" s="71"/>
      <c r="AJ16" s="160"/>
      <c r="AK16" s="148"/>
      <c r="AL16" s="101"/>
      <c r="AM16" s="5"/>
      <c r="AN16" s="5"/>
    </row>
  </sheetData>
  <mergeCells count="2">
    <mergeCell ref="AJ11:AK11"/>
    <mergeCell ref="AL11:AM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59"/>
  <sheetViews>
    <sheetView workbookViewId="0"/>
  </sheetViews>
  <sheetFormatPr defaultRowHeight="15" x14ac:dyDescent="0.25"/>
  <cols>
    <col min="1" max="1" style="23" width="10.43357142857143" customWidth="1" bestFit="1"/>
    <col min="2" max="2" style="23" width="35.14785714285715" customWidth="1" bestFit="1"/>
    <col min="3" max="3" style="96" width="17.862142857142857" customWidth="1" bestFit="1"/>
    <col min="4" max="4" style="97" width="11.005" customWidth="1" bestFit="1"/>
    <col min="5" max="5" style="23" width="12.290714285714287" customWidth="1" bestFit="1"/>
    <col min="6" max="6" style="23" width="16.005" customWidth="1" bestFit="1"/>
    <col min="7" max="7" style="23" width="13.576428571428572" customWidth="1" bestFit="1"/>
  </cols>
  <sheetData>
    <row x14ac:dyDescent="0.25" r="1" customHeight="1" ht="13.5">
      <c r="A1" s="37" t="s">
        <v>45</v>
      </c>
      <c r="B1" s="38">
        <f>CONCATENATE('Cash Flow'!C1, "  ",'Cash Flow'!D1)</f>
      </c>
      <c r="C1" s="39"/>
      <c r="D1" s="40"/>
      <c r="E1" s="6"/>
      <c r="F1" s="6"/>
      <c r="G1" s="6"/>
    </row>
    <row x14ac:dyDescent="0.25" r="2" customHeight="1" ht="5.1">
      <c r="A2" s="37"/>
      <c r="B2" s="41"/>
      <c r="C2" s="39"/>
      <c r="D2" s="40"/>
      <c r="E2" s="6"/>
      <c r="F2" s="6"/>
      <c r="G2" s="6"/>
    </row>
    <row x14ac:dyDescent="0.25" r="3" customHeight="1" ht="14.1">
      <c r="A3" s="42" t="s">
        <v>46</v>
      </c>
      <c r="B3" s="43"/>
      <c r="C3" s="44"/>
      <c r="D3" s="40"/>
      <c r="E3" s="6"/>
      <c r="F3" s="6"/>
      <c r="G3" s="6"/>
    </row>
    <row x14ac:dyDescent="0.25" r="4" customHeight="1" ht="24">
      <c r="A4" s="8" t="s">
        <v>47</v>
      </c>
      <c r="B4" s="9" t="s">
        <v>48</v>
      </c>
      <c r="C4" s="45">
        <f>Pool!AH4</f>
      </c>
      <c r="D4" s="46"/>
      <c r="E4" s="47"/>
      <c r="F4" s="47"/>
      <c r="G4" s="6"/>
    </row>
    <row x14ac:dyDescent="0.25" r="5" customHeight="1" ht="14.1">
      <c r="A5" s="11" t="s">
        <v>49</v>
      </c>
      <c r="B5" s="12" t="s">
        <v>50</v>
      </c>
      <c r="C5" s="48">
        <f>Pool!AH9</f>
      </c>
      <c r="D5" s="49"/>
      <c r="E5" s="50"/>
      <c r="F5" s="50"/>
      <c r="G5" s="6"/>
    </row>
    <row x14ac:dyDescent="0.25" r="6" customHeight="1" ht="14.1">
      <c r="A6" s="11" t="s">
        <v>51</v>
      </c>
      <c r="B6" s="12" t="s">
        <v>52</v>
      </c>
      <c r="C6" s="48">
        <f>Pool!AH6+Pool!AH7</f>
      </c>
      <c r="D6" s="51"/>
      <c r="E6" s="52"/>
      <c r="F6" s="52"/>
      <c r="G6" s="6"/>
    </row>
    <row x14ac:dyDescent="0.25" r="7" customHeight="1" ht="14.1">
      <c r="A7" s="11" t="s">
        <v>53</v>
      </c>
      <c r="B7" s="12" t="s">
        <v>54</v>
      </c>
      <c r="C7" s="48">
        <f>Pool!AH8</f>
      </c>
      <c r="D7" s="49"/>
      <c r="E7" s="50"/>
      <c r="F7" s="50"/>
      <c r="G7" s="6"/>
    </row>
    <row x14ac:dyDescent="0.25" r="8" customHeight="1" ht="14.1">
      <c r="A8" s="11" t="s">
        <v>55</v>
      </c>
      <c r="B8" s="12" t="s">
        <v>56</v>
      </c>
      <c r="C8" s="48">
        <f>Pool!AH10</f>
      </c>
      <c r="D8" s="49"/>
      <c r="E8" s="50"/>
      <c r="F8" s="50"/>
      <c r="G8" s="6"/>
    </row>
    <row x14ac:dyDescent="0.25" r="9" customHeight="1" ht="14.1">
      <c r="A9" s="11" t="s">
        <v>57</v>
      </c>
      <c r="B9" s="12" t="s">
        <v>58</v>
      </c>
      <c r="C9" s="48">
        <f>Pool!AH14</f>
      </c>
      <c r="D9" s="49"/>
      <c r="E9" s="50"/>
      <c r="F9" s="50"/>
      <c r="G9" s="6"/>
    </row>
    <row x14ac:dyDescent="0.25" r="10" customHeight="1" ht="14.1">
      <c r="A10" s="11" t="s">
        <v>59</v>
      </c>
      <c r="B10" s="12" t="s">
        <v>60</v>
      </c>
      <c r="C10" s="48">
        <f>Pool!AH15+Pool!AH17</f>
      </c>
      <c r="D10" s="49"/>
      <c r="E10" s="50"/>
      <c r="F10" s="50"/>
      <c r="G10" s="6"/>
    </row>
    <row x14ac:dyDescent="0.25" r="11" customHeight="1" ht="14.1">
      <c r="A11" s="11" t="s">
        <v>61</v>
      </c>
      <c r="B11" s="12" t="s">
        <v>62</v>
      </c>
      <c r="C11" s="48">
        <f>Pool!AH16</f>
      </c>
      <c r="D11" s="49"/>
      <c r="E11" s="50"/>
      <c r="F11" s="50"/>
      <c r="G11" s="6"/>
    </row>
    <row x14ac:dyDescent="0.25" r="12" customHeight="1" ht="14.1">
      <c r="A12" s="11" t="s">
        <v>63</v>
      </c>
      <c r="B12" s="12" t="s">
        <v>64</v>
      </c>
      <c r="C12" s="48">
        <f>Pool!AH18</f>
      </c>
      <c r="D12" s="49"/>
      <c r="E12" s="50"/>
      <c r="F12" s="50"/>
      <c r="G12" s="6"/>
    </row>
    <row x14ac:dyDescent="0.25" r="13" customHeight="1" ht="18.75" hidden="1">
      <c r="A13" s="11" t="s">
        <v>65</v>
      </c>
      <c r="B13" s="12" t="s">
        <v>66</v>
      </c>
      <c r="C13" s="48">
        <f>Pool!AH19</f>
      </c>
      <c r="D13" s="49"/>
      <c r="E13" s="50"/>
      <c r="F13" s="50"/>
      <c r="G13" s="6"/>
    </row>
    <row x14ac:dyDescent="0.25" r="14" customHeight="1" ht="14.1">
      <c r="A14" s="11" t="s">
        <v>67</v>
      </c>
      <c r="B14" s="12" t="s">
        <v>68</v>
      </c>
      <c r="C14" s="48">
        <f>Pool!AH20</f>
      </c>
      <c r="D14" s="49"/>
      <c r="E14" s="50"/>
      <c r="F14" s="50"/>
      <c r="G14" s="6"/>
    </row>
    <row x14ac:dyDescent="0.25" r="15" customHeight="1" ht="14.1">
      <c r="A15" s="53" t="s">
        <v>69</v>
      </c>
      <c r="B15" s="54" t="s">
        <v>70</v>
      </c>
      <c r="C15" s="55">
        <f>Pool!AH21</f>
      </c>
      <c r="D15" s="49"/>
      <c r="E15" s="50"/>
      <c r="F15" s="50"/>
      <c r="G15" s="6"/>
    </row>
    <row x14ac:dyDescent="0.25" r="16" customHeight="1" ht="18.75" hidden="1">
      <c r="A16" s="56" t="s">
        <v>71</v>
      </c>
      <c r="B16" s="57" t="s">
        <v>72</v>
      </c>
      <c r="C16" s="58">
        <f>Pool!AH22</f>
      </c>
      <c r="D16" s="49"/>
      <c r="E16" s="50"/>
      <c r="F16" s="50"/>
      <c r="G16" s="6"/>
    </row>
    <row x14ac:dyDescent="0.25" r="17" customHeight="1" ht="18.75" hidden="1">
      <c r="A17" s="11" t="s">
        <v>73</v>
      </c>
      <c r="B17" s="12" t="s">
        <v>74</v>
      </c>
      <c r="C17" s="48">
        <f>Pool!AH23</f>
      </c>
      <c r="D17" s="49"/>
      <c r="E17" s="50"/>
      <c r="F17" s="50"/>
      <c r="G17" s="6"/>
    </row>
    <row x14ac:dyDescent="0.25" r="18" customHeight="1" ht="18.75" hidden="1">
      <c r="A18" s="11" t="s">
        <v>75</v>
      </c>
      <c r="B18" s="12" t="s">
        <v>76</v>
      </c>
      <c r="C18" s="48">
        <f>Pool!AH24</f>
      </c>
      <c r="D18" s="49"/>
      <c r="E18" s="50"/>
      <c r="F18" s="50"/>
      <c r="G18" s="6"/>
    </row>
    <row x14ac:dyDescent="0.25" r="19" customHeight="1" ht="18.75" hidden="1">
      <c r="A19" s="11" t="s">
        <v>77</v>
      </c>
      <c r="B19" s="12" t="s">
        <v>78</v>
      </c>
      <c r="C19" s="48">
        <f>Pool!AH25</f>
      </c>
      <c r="D19" s="49"/>
      <c r="E19" s="50"/>
      <c r="F19" s="50"/>
      <c r="G19" s="6"/>
    </row>
    <row x14ac:dyDescent="0.25" r="20" customHeight="1" ht="18.75" hidden="1">
      <c r="A20" s="11" t="s">
        <v>79</v>
      </c>
      <c r="B20" s="12" t="s">
        <v>80</v>
      </c>
      <c r="C20" s="48">
        <f>Pool!AH26</f>
      </c>
      <c r="D20" s="49"/>
      <c r="E20" s="50"/>
      <c r="F20" s="50"/>
      <c r="G20" s="6"/>
    </row>
    <row x14ac:dyDescent="0.25" r="21" customHeight="1" ht="18.75" hidden="1">
      <c r="A21" s="53" t="s">
        <v>81</v>
      </c>
      <c r="B21" s="54" t="s">
        <v>82</v>
      </c>
      <c r="C21" s="55">
        <f>Pool!AH27</f>
      </c>
      <c r="D21" s="49"/>
      <c r="E21" s="50"/>
      <c r="F21" s="50"/>
      <c r="G21" s="6"/>
    </row>
    <row x14ac:dyDescent="0.25" r="22" customHeight="1" ht="14.1">
      <c r="A22" s="59"/>
      <c r="B22" s="18" t="s">
        <v>9</v>
      </c>
      <c r="C22" s="60">
        <f>C4+C5+C6+C7+C8+C9+C10+C11+C12+C15+C14</f>
      </c>
      <c r="D22" s="50" t="s">
        <v>83</v>
      </c>
      <c r="E22" s="50"/>
      <c r="F22" s="50"/>
      <c r="G22" s="6"/>
    </row>
    <row x14ac:dyDescent="0.25" r="23" customHeight="1" ht="5.1">
      <c r="A23" s="6"/>
      <c r="B23" s="6"/>
      <c r="C23" s="61"/>
      <c r="D23" s="40"/>
      <c r="E23" s="6"/>
      <c r="F23" s="22"/>
      <c r="G23" s="22"/>
    </row>
    <row x14ac:dyDescent="0.25" r="24" customHeight="1" ht="14.1">
      <c r="A24" s="42" t="s">
        <v>84</v>
      </c>
      <c r="B24" s="43"/>
      <c r="C24" s="44"/>
      <c r="D24" s="40"/>
      <c r="E24" s="6"/>
      <c r="F24" s="6"/>
      <c r="G24" s="6"/>
    </row>
    <row x14ac:dyDescent="0.25" r="25" customHeight="1" ht="14.1">
      <c r="A25" s="8" t="s">
        <v>1</v>
      </c>
      <c r="B25" s="62" t="s">
        <v>85</v>
      </c>
      <c r="C25" s="63">
        <f>Pool!AH3</f>
      </c>
      <c r="D25" s="49"/>
      <c r="E25" s="50"/>
      <c r="F25" s="50"/>
      <c r="G25" s="6"/>
    </row>
    <row x14ac:dyDescent="0.25" r="26" customHeight="1" ht="18.75" hidden="1">
      <c r="A26" s="11" t="s">
        <v>86</v>
      </c>
      <c r="B26" s="64" t="s">
        <v>87</v>
      </c>
      <c r="C26" s="65">
        <f>Pool!AH11</f>
      </c>
      <c r="D26" s="49" t="s">
        <v>88</v>
      </c>
      <c r="E26" s="50"/>
      <c r="F26" s="50"/>
      <c r="G26" s="6"/>
    </row>
    <row x14ac:dyDescent="0.25" r="27" customHeight="1" ht="18.75" hidden="1">
      <c r="A27" s="11" t="s">
        <v>89</v>
      </c>
      <c r="B27" s="64" t="s">
        <v>90</v>
      </c>
      <c r="C27" s="65">
        <f>Pool!AH12</f>
      </c>
      <c r="D27" s="49" t="s">
        <v>91</v>
      </c>
      <c r="E27" s="50"/>
      <c r="F27" s="50"/>
      <c r="G27" s="6"/>
    </row>
    <row x14ac:dyDescent="0.25" r="28" customHeight="1" ht="18.75" hidden="1">
      <c r="A28" s="11" t="s">
        <v>92</v>
      </c>
      <c r="B28" s="64" t="s">
        <v>93</v>
      </c>
      <c r="C28" s="65">
        <f>Pool!AH13</f>
      </c>
      <c r="D28" s="49" t="s">
        <v>94</v>
      </c>
      <c r="E28" s="50"/>
      <c r="F28" s="50"/>
      <c r="G28" s="6"/>
    </row>
    <row x14ac:dyDescent="0.25" r="29" customHeight="1" ht="14.1">
      <c r="A29" s="53" t="s">
        <v>95</v>
      </c>
      <c r="B29" s="66" t="s">
        <v>96</v>
      </c>
      <c r="C29" s="67">
        <f>Pool!AH28</f>
      </c>
      <c r="D29" s="49" t="s">
        <v>96</v>
      </c>
      <c r="E29" s="50"/>
      <c r="F29" s="50"/>
      <c r="G29" s="6"/>
    </row>
    <row x14ac:dyDescent="0.25" r="30" customHeight="1" ht="14.1">
      <c r="A30" s="6"/>
      <c r="B30" s="68" t="s">
        <v>97</v>
      </c>
      <c r="C30" s="20">
        <f>SUM(C25:C29)</f>
      </c>
      <c r="D30" s="40"/>
      <c r="E30" s="6"/>
      <c r="F30" s="22"/>
      <c r="G30" s="6"/>
    </row>
    <row x14ac:dyDescent="0.25" r="31" customHeight="1" ht="5.1">
      <c r="A31" s="6"/>
      <c r="B31" s="18"/>
      <c r="C31" s="20"/>
      <c r="D31" s="40"/>
      <c r="E31" s="6"/>
      <c r="F31" s="22"/>
      <c r="G31" s="6"/>
    </row>
    <row x14ac:dyDescent="0.25" r="32" customHeight="1" ht="14.1">
      <c r="A32" s="6"/>
      <c r="B32" s="69" t="s">
        <v>98</v>
      </c>
      <c r="C32" s="70">
        <f>C30+C22</f>
      </c>
      <c r="D32" s="50" t="s">
        <v>99</v>
      </c>
      <c r="E32" s="50"/>
      <c r="F32" s="50"/>
      <c r="G32" s="6"/>
    </row>
    <row x14ac:dyDescent="0.25" r="33" customHeight="1" ht="5.1">
      <c r="A33" s="6"/>
      <c r="B33" s="6"/>
      <c r="C33" s="61"/>
      <c r="D33" s="40"/>
      <c r="E33" s="6"/>
      <c r="F33" s="6"/>
      <c r="G33" s="6"/>
    </row>
    <row x14ac:dyDescent="0.25" r="34" customHeight="1" ht="14.1">
      <c r="A34" s="42" t="s">
        <v>100</v>
      </c>
      <c r="B34" s="43"/>
      <c r="C34" s="44"/>
      <c r="D34" s="40"/>
      <c r="E34" s="6"/>
      <c r="F34" s="6"/>
      <c r="G34" s="6"/>
    </row>
    <row x14ac:dyDescent="0.25" r="35" customHeight="1" ht="14.1">
      <c r="A35" s="8" t="s">
        <v>10</v>
      </c>
      <c r="B35" s="9" t="s">
        <v>101</v>
      </c>
      <c r="C35" s="10">
        <f>Pool!AL33</f>
      </c>
      <c r="D35" s="40"/>
      <c r="E35" s="6"/>
      <c r="F35" s="6"/>
      <c r="G35" s="6"/>
    </row>
    <row x14ac:dyDescent="0.25" r="36" customHeight="1" ht="14.1">
      <c r="A36" s="11" t="s">
        <v>10</v>
      </c>
      <c r="B36" s="12" t="s">
        <v>102</v>
      </c>
      <c r="C36" s="13">
        <f>Pool!AM33</f>
      </c>
      <c r="D36" s="40"/>
      <c r="E36" s="6"/>
      <c r="F36" s="6"/>
      <c r="G36" s="6"/>
    </row>
    <row x14ac:dyDescent="0.25" r="37" customHeight="1" ht="14.1">
      <c r="A37" s="11" t="s">
        <v>10</v>
      </c>
      <c r="B37" s="12" t="s">
        <v>103</v>
      </c>
      <c r="C37" s="13">
        <f>Pool!AL34</f>
      </c>
      <c r="D37" s="40"/>
      <c r="E37" s="6"/>
      <c r="F37" s="6"/>
      <c r="G37" s="6"/>
    </row>
    <row x14ac:dyDescent="0.25" r="38" customHeight="1" ht="14.1">
      <c r="A38" s="11" t="s">
        <v>10</v>
      </c>
      <c r="B38" s="12" t="s">
        <v>104</v>
      </c>
      <c r="C38" s="13">
        <f>Pool!AM34</f>
      </c>
      <c r="D38" s="71"/>
      <c r="E38" s="22"/>
      <c r="F38" s="6"/>
      <c r="G38" s="6"/>
    </row>
    <row x14ac:dyDescent="0.25" r="39" customHeight="1" ht="14.1">
      <c r="A39" s="11" t="s">
        <v>10</v>
      </c>
      <c r="B39" s="12" t="s">
        <v>105</v>
      </c>
      <c r="C39" s="13">
        <f>Pool!AL35</f>
      </c>
      <c r="D39" s="71"/>
      <c r="E39" s="22"/>
      <c r="F39" s="6"/>
      <c r="G39" s="6"/>
    </row>
    <row x14ac:dyDescent="0.25" r="40" customHeight="1" ht="14.1">
      <c r="A40" s="11" t="s">
        <v>10</v>
      </c>
      <c r="B40" s="12" t="s">
        <v>106</v>
      </c>
      <c r="C40" s="13">
        <f>Pool!AM35</f>
      </c>
      <c r="D40" s="40"/>
      <c r="E40" s="22"/>
      <c r="F40" s="6"/>
      <c r="G40" s="6"/>
    </row>
    <row x14ac:dyDescent="0.25" r="41" customHeight="1" ht="14.1">
      <c r="A41" s="11" t="s">
        <v>107</v>
      </c>
      <c r="B41" s="12" t="s">
        <v>108</v>
      </c>
      <c r="C41" s="13">
        <f>Pool!AL45+Pool!AM45</f>
      </c>
      <c r="D41" s="40"/>
      <c r="E41" s="22"/>
      <c r="F41" s="6"/>
      <c r="G41" s="6"/>
    </row>
    <row x14ac:dyDescent="0.25" r="42" customHeight="1" ht="14.1">
      <c r="A42" s="11" t="s">
        <v>109</v>
      </c>
      <c r="B42" s="12" t="s">
        <v>110</v>
      </c>
      <c r="C42" s="13">
        <f>Pool!AL43</f>
      </c>
      <c r="D42" s="72"/>
      <c r="E42" s="73"/>
      <c r="F42" s="73"/>
      <c r="G42" s="6"/>
    </row>
    <row x14ac:dyDescent="0.25" r="43" customHeight="1" ht="14.1">
      <c r="A43" s="74" t="s">
        <v>111</v>
      </c>
      <c r="B43" s="75" t="s">
        <v>112</v>
      </c>
      <c r="C43" s="76">
        <f>Pool!AL37</f>
      </c>
      <c r="D43" s="40"/>
      <c r="E43" s="6"/>
      <c r="F43" s="6"/>
      <c r="G43" s="6"/>
    </row>
    <row x14ac:dyDescent="0.25" r="44" customHeight="1" ht="14.1">
      <c r="A44" s="53" t="s">
        <v>95</v>
      </c>
      <c r="B44" s="54" t="s">
        <v>113</v>
      </c>
      <c r="C44" s="77">
        <f>Pool!AL38</f>
      </c>
      <c r="D44" s="40"/>
      <c r="E44" s="6"/>
      <c r="F44" s="6"/>
      <c r="G44" s="6"/>
    </row>
    <row x14ac:dyDescent="0.25" r="45" customHeight="1" ht="12.75">
      <c r="A45" s="6"/>
      <c r="B45" s="18" t="s">
        <v>17</v>
      </c>
      <c r="C45" s="78">
        <f>SUM(C35:C44)</f>
      </c>
      <c r="D45" s="40"/>
      <c r="E45" s="6"/>
      <c r="F45" s="6"/>
      <c r="G45" s="6"/>
    </row>
    <row x14ac:dyDescent="0.25" r="46" customHeight="1" ht="5.1">
      <c r="A46" s="6"/>
      <c r="B46" s="6"/>
      <c r="C46" s="61"/>
      <c r="D46" s="78"/>
      <c r="E46" s="22"/>
      <c r="F46" s="6"/>
      <c r="G46" s="6"/>
    </row>
    <row x14ac:dyDescent="0.25" r="47" customHeight="1" ht="14.1">
      <c r="A47" s="6"/>
      <c r="B47" s="8" t="s">
        <v>37</v>
      </c>
      <c r="C47" s="79">
        <f>Pool!AJ47</f>
      </c>
      <c r="D47" s="40"/>
      <c r="E47" s="6"/>
      <c r="F47" s="6"/>
      <c r="G47" s="6"/>
    </row>
    <row x14ac:dyDescent="0.25" r="48" customHeight="1" ht="14.1">
      <c r="A48" s="6"/>
      <c r="B48" s="11" t="s">
        <v>114</v>
      </c>
      <c r="C48" s="80">
        <f>Pool!AJ48</f>
      </c>
      <c r="D48" s="40"/>
      <c r="E48" s="6"/>
      <c r="F48" s="6"/>
      <c r="G48" s="6"/>
    </row>
    <row x14ac:dyDescent="0.25" r="49" customHeight="1" ht="14.1">
      <c r="A49" s="6"/>
      <c r="B49" s="81" t="s">
        <v>115</v>
      </c>
      <c r="C49" s="82">
        <f>C47+C48</f>
      </c>
      <c r="D49" s="40"/>
      <c r="E49" s="6"/>
      <c r="F49" s="6"/>
      <c r="G49" s="6"/>
    </row>
    <row x14ac:dyDescent="0.25" r="50" customHeight="1" ht="5.1">
      <c r="A50" s="6"/>
      <c r="B50" s="6"/>
      <c r="C50" s="61"/>
      <c r="D50" s="40"/>
      <c r="E50" s="6"/>
      <c r="F50" s="6"/>
      <c r="G50" s="6"/>
    </row>
    <row x14ac:dyDescent="0.25" r="51" customHeight="1" ht="14.1">
      <c r="A51" s="6"/>
      <c r="B51" s="83" t="s">
        <v>116</v>
      </c>
      <c r="C51" s="84">
        <f>Pool!AJ54</f>
      </c>
      <c r="D51" s="40"/>
      <c r="E51" s="6"/>
      <c r="F51" s="6"/>
      <c r="G51" s="6"/>
    </row>
    <row x14ac:dyDescent="0.25" r="52" customHeight="1" ht="5.1">
      <c r="A52" s="6"/>
      <c r="B52" s="6"/>
      <c r="C52" s="61"/>
      <c r="D52" s="40"/>
      <c r="E52" s="6"/>
      <c r="F52" s="6"/>
      <c r="G52" s="6"/>
    </row>
    <row x14ac:dyDescent="0.25" r="53" customHeight="1" ht="14.1">
      <c r="A53" s="85"/>
      <c r="B53" s="86" t="s">
        <v>117</v>
      </c>
      <c r="C53" s="87" t="s">
        <v>118</v>
      </c>
      <c r="D53" s="40"/>
      <c r="E53" s="6"/>
      <c r="F53" s="6"/>
      <c r="G53" s="6"/>
    </row>
    <row x14ac:dyDescent="0.25" r="54" customHeight="1" ht="14.1">
      <c r="A54" s="6"/>
      <c r="B54" s="88" t="s">
        <v>119</v>
      </c>
      <c r="C54" s="89">
        <f>Pool!AJ57</f>
      </c>
      <c r="D54" s="40"/>
      <c r="E54" s="6"/>
      <c r="F54" s="6"/>
      <c r="G54" s="6"/>
    </row>
    <row x14ac:dyDescent="0.25" r="55" customHeight="1" ht="14.1">
      <c r="A55" s="85"/>
      <c r="B55" s="90" t="s">
        <v>120</v>
      </c>
      <c r="C55" s="91">
        <f>Pool!AJ58</f>
      </c>
      <c r="D55" s="40"/>
      <c r="E55" s="6"/>
      <c r="F55" s="6"/>
      <c r="G55" s="6"/>
    </row>
    <row x14ac:dyDescent="0.25" r="56" customHeight="1" ht="14.1">
      <c r="A56" s="6"/>
      <c r="B56" s="90" t="s">
        <v>121</v>
      </c>
      <c r="C56" s="91">
        <f>Pool!AJ59</f>
      </c>
      <c r="D56" s="40"/>
      <c r="E56" s="6"/>
      <c r="F56" s="6"/>
      <c r="G56" s="6"/>
    </row>
    <row x14ac:dyDescent="0.25" r="57" customHeight="1" ht="14.1">
      <c r="A57" s="6"/>
      <c r="B57" s="92" t="s">
        <v>122</v>
      </c>
      <c r="C57" s="93">
        <f>Pool!AJ60</f>
      </c>
      <c r="D57" s="40"/>
      <c r="E57" s="6"/>
      <c r="F57" s="6"/>
      <c r="G57" s="6"/>
    </row>
    <row x14ac:dyDescent="0.25" r="58" customHeight="1" ht="18.75">
      <c r="A58" s="94"/>
      <c r="B58" s="94"/>
      <c r="C58" s="95"/>
      <c r="D58" s="40"/>
      <c r="E58" s="94"/>
      <c r="F58" s="6"/>
      <c r="G58" s="6"/>
    </row>
    <row x14ac:dyDescent="0.25" r="59" customHeight="1" ht="18.75">
      <c r="A59" s="6"/>
      <c r="B59" s="6"/>
      <c r="C59" s="61"/>
      <c r="D59" s="94"/>
      <c r="E59" s="6"/>
      <c r="F59" s="6"/>
      <c r="G59" s="6"/>
    </row>
  </sheetData>
  <mergeCells count="29">
    <mergeCell ref="A3:C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A24:C24"/>
    <mergeCell ref="D25:F25"/>
    <mergeCell ref="D26:F26"/>
    <mergeCell ref="D27:F27"/>
    <mergeCell ref="D28:F28"/>
    <mergeCell ref="D29:F29"/>
    <mergeCell ref="D32:F32"/>
    <mergeCell ref="A34:C34"/>
    <mergeCell ref="D42:F4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32"/>
  <sheetViews>
    <sheetView workbookViewId="0"/>
  </sheetViews>
  <sheetFormatPr defaultRowHeight="15" x14ac:dyDescent="0.25"/>
  <cols>
    <col min="1" max="1" style="23" width="11.290714285714287" customWidth="1" bestFit="1"/>
    <col min="2" max="2" style="24" width="29.290714285714284" customWidth="1" bestFit="1"/>
    <col min="3" max="3" style="36" width="21.719285714285714" customWidth="1" bestFit="1"/>
    <col min="4" max="4" style="27" width="12.147857142857141" customWidth="1" bestFit="1"/>
    <col min="5" max="5" style="27" width="11.290714285714287" customWidth="1" bestFit="1"/>
  </cols>
  <sheetData>
    <row x14ac:dyDescent="0.25" r="1" customHeight="1" ht="18.75">
      <c r="A1" s="1" t="s">
        <v>18</v>
      </c>
      <c r="B1" s="2">
        <f>CONCATENATE('Cash Flow'!C1, "  ",'Cash Flow'!D1)</f>
      </c>
      <c r="C1" s="28"/>
      <c r="D1" s="5"/>
      <c r="E1" s="5"/>
    </row>
    <row x14ac:dyDescent="0.25" r="2" customHeight="1" ht="18.75">
      <c r="A2" s="6"/>
      <c r="B2" s="7"/>
      <c r="C2" s="28"/>
      <c r="D2" s="5"/>
      <c r="E2" s="5"/>
    </row>
    <row x14ac:dyDescent="0.25" r="3" customHeight="1" ht="18.75">
      <c r="A3" s="8" t="s">
        <v>1</v>
      </c>
      <c r="B3" s="9" t="s">
        <v>19</v>
      </c>
      <c r="C3" s="10">
        <f>'Box Canon'!AH3+'Box Canon'!AH9</f>
      </c>
      <c r="D3" s="5"/>
      <c r="E3" s="5"/>
    </row>
    <row x14ac:dyDescent="0.25" r="4" customHeight="1" ht="18.75">
      <c r="A4" s="11" t="s">
        <v>20</v>
      </c>
      <c r="B4" s="12" t="s">
        <v>21</v>
      </c>
      <c r="C4" s="13">
        <f>'Box Canon'!AH4+'Box Canon'!AH10</f>
      </c>
      <c r="D4" s="5"/>
      <c r="E4" s="5"/>
    </row>
    <row x14ac:dyDescent="0.25" r="5" customHeight="1" ht="18.75">
      <c r="A5" s="11" t="s">
        <v>22</v>
      </c>
      <c r="B5" s="12" t="s">
        <v>23</v>
      </c>
      <c r="C5" s="13">
        <f>'Box Canon'!AH5+'Box Canon'!AH11</f>
      </c>
      <c r="D5" s="5"/>
      <c r="E5" s="5"/>
    </row>
    <row x14ac:dyDescent="0.25" r="6" customHeight="1" ht="18.75">
      <c r="A6" s="11" t="s">
        <v>24</v>
      </c>
      <c r="B6" s="12" t="s">
        <v>25</v>
      </c>
      <c r="C6" s="13">
        <f>'Box Canon'!AH6+'Box Canon'!AH12</f>
      </c>
      <c r="D6" s="5"/>
      <c r="E6" s="5"/>
    </row>
    <row x14ac:dyDescent="0.25" r="7" customHeight="1" ht="18.75">
      <c r="A7" s="11" t="s">
        <v>24</v>
      </c>
      <c r="B7" s="12" t="s">
        <v>26</v>
      </c>
      <c r="C7" s="13">
        <f>'Box Canon'!AH7+'Box Canon'!AH13</f>
      </c>
      <c r="D7" s="5"/>
      <c r="E7" s="5"/>
    </row>
    <row x14ac:dyDescent="0.25" r="8" customHeight="1" ht="18.75">
      <c r="A8" s="11"/>
      <c r="B8" s="12"/>
      <c r="C8" s="13"/>
      <c r="D8" s="5"/>
      <c r="E8" s="5"/>
    </row>
    <row x14ac:dyDescent="0.25" r="9" customHeight="1" ht="18.75">
      <c r="A9" s="11" t="s">
        <v>27</v>
      </c>
      <c r="B9" s="12" t="s">
        <v>28</v>
      </c>
      <c r="C9" s="13">
        <f>-('Box Canon'!AH26+'Box Canon'!AH27)</f>
      </c>
      <c r="D9" s="5"/>
      <c r="E9" s="5"/>
    </row>
    <row x14ac:dyDescent="0.25" r="10" customHeight="1" ht="18.75">
      <c r="A10" s="14"/>
      <c r="B10" s="15"/>
      <c r="C10" s="16"/>
      <c r="D10" s="17"/>
      <c r="E10" s="17"/>
    </row>
    <row x14ac:dyDescent="0.25" r="11" customHeight="1" ht="18.75">
      <c r="A11" s="6"/>
      <c r="B11" s="18" t="s">
        <v>9</v>
      </c>
      <c r="C11" s="19"/>
      <c r="D11" s="20">
        <f>SUM(C3:C9)</f>
      </c>
      <c r="E11" s="5"/>
    </row>
    <row x14ac:dyDescent="0.25" r="12" customHeight="1" ht="18.75">
      <c r="A12" s="6"/>
      <c r="B12" s="7"/>
      <c r="C12" s="21"/>
      <c r="D12" s="5"/>
      <c r="E12" s="5"/>
    </row>
    <row x14ac:dyDescent="0.25" r="13" customHeight="1" ht="18.75">
      <c r="A13" s="8" t="s">
        <v>10</v>
      </c>
      <c r="B13" s="9" t="s">
        <v>29</v>
      </c>
      <c r="C13" s="10">
        <f>'Box Canon'!AL20</f>
      </c>
      <c r="D13" s="5"/>
      <c r="E13" s="5"/>
    </row>
    <row x14ac:dyDescent="0.25" r="14" customHeight="1" ht="18.75">
      <c r="A14" s="11" t="s">
        <v>10</v>
      </c>
      <c r="B14" s="12" t="s">
        <v>30</v>
      </c>
      <c r="C14" s="13">
        <f>'Box Canon'!AM20</f>
      </c>
      <c r="D14" s="5"/>
      <c r="E14" s="5"/>
    </row>
    <row x14ac:dyDescent="0.25" r="15" customHeight="1" ht="18.75">
      <c r="A15" s="11" t="s">
        <v>10</v>
      </c>
      <c r="B15" s="12" t="s">
        <v>31</v>
      </c>
      <c r="C15" s="13">
        <f>'Box Canon'!AL21</f>
      </c>
      <c r="D15" s="5"/>
      <c r="E15" s="22">
        <f>D11-D22</f>
      </c>
    </row>
    <row x14ac:dyDescent="0.25" r="16" customHeight="1" ht="18.75">
      <c r="A16" s="11" t="s">
        <v>10</v>
      </c>
      <c r="B16" s="12" t="s">
        <v>32</v>
      </c>
      <c r="C16" s="13">
        <f>'Box Canon'!AM21</f>
      </c>
      <c r="D16" s="5"/>
      <c r="E16" s="5"/>
    </row>
    <row x14ac:dyDescent="0.25" r="17" customHeight="1" ht="18.75">
      <c r="A17" s="11" t="s">
        <v>10</v>
      </c>
      <c r="B17" s="12" t="s">
        <v>33</v>
      </c>
      <c r="C17" s="13">
        <f>'Box Canon'!AL22</f>
      </c>
      <c r="D17" s="5"/>
      <c r="E17" s="5"/>
    </row>
    <row x14ac:dyDescent="0.25" r="18" customHeight="1" ht="18.75">
      <c r="A18" s="11" t="s">
        <v>10</v>
      </c>
      <c r="B18" s="12" t="s">
        <v>34</v>
      </c>
      <c r="C18" s="13">
        <f>'Box Canon'!AM22</f>
      </c>
      <c r="D18" s="5"/>
      <c r="E18" s="5"/>
    </row>
    <row x14ac:dyDescent="0.25" r="19" customHeight="1" ht="18.75">
      <c r="A19" s="11" t="s">
        <v>35</v>
      </c>
      <c r="B19" s="12" t="s">
        <v>36</v>
      </c>
      <c r="C19" s="13">
        <f>'Box Canon'!AL29+'Box Canon'!AM29</f>
      </c>
      <c r="D19" s="5"/>
      <c r="E19" s="5"/>
    </row>
    <row x14ac:dyDescent="0.25" r="20" customHeight="1" ht="18.75">
      <c r="A20" s="11"/>
      <c r="B20" s="12"/>
      <c r="C20" s="13"/>
      <c r="D20" s="5"/>
      <c r="E20" s="5"/>
    </row>
    <row x14ac:dyDescent="0.25" r="21" customHeight="1" ht="18.75">
      <c r="A21" s="14"/>
      <c r="B21" s="15"/>
      <c r="C21" s="16"/>
      <c r="D21" s="17"/>
      <c r="E21" s="5"/>
    </row>
    <row x14ac:dyDescent="0.25" r="22" customHeight="1" ht="18.75">
      <c r="A22" s="6"/>
      <c r="B22" s="18" t="s">
        <v>17</v>
      </c>
      <c r="C22" s="19"/>
      <c r="D22" s="20">
        <f>SUM(C13:C20)</f>
      </c>
      <c r="E22" s="5"/>
    </row>
    <row x14ac:dyDescent="0.25" r="23" customHeight="1" ht="18.75">
      <c r="A23" s="6"/>
      <c r="B23" s="7"/>
      <c r="C23" s="28"/>
      <c r="D23" s="5"/>
      <c r="E23" s="5"/>
    </row>
    <row x14ac:dyDescent="0.25" r="24" customHeight="1" ht="18.75">
      <c r="A24" s="6"/>
      <c r="B24" s="29" t="s">
        <v>37</v>
      </c>
      <c r="C24" s="30"/>
      <c r="D24" s="5"/>
      <c r="E24" s="5"/>
    </row>
    <row x14ac:dyDescent="0.25" r="25" customHeight="1" ht="18.75">
      <c r="A25" s="6"/>
      <c r="B25" s="31" t="s">
        <v>38</v>
      </c>
      <c r="C25" s="32">
        <f>'Box Canon'!AJ32</f>
      </c>
      <c r="D25" s="5"/>
      <c r="E25" s="5"/>
    </row>
    <row x14ac:dyDescent="0.25" r="26" customHeight="1" ht="18.75">
      <c r="A26" s="6"/>
      <c r="B26" s="31" t="s">
        <v>39</v>
      </c>
      <c r="C26" s="32">
        <f>'Box Canon'!AJ33</f>
      </c>
      <c r="D26" s="5"/>
      <c r="E26" s="5"/>
    </row>
    <row x14ac:dyDescent="0.25" r="27" customHeight="1" ht="18.75">
      <c r="A27" s="6"/>
      <c r="B27" s="31" t="s">
        <v>40</v>
      </c>
      <c r="C27" s="32">
        <f>'Box Canon'!AJ34</f>
      </c>
      <c r="D27" s="5"/>
      <c r="E27" s="5"/>
    </row>
    <row x14ac:dyDescent="0.25" r="28" customHeight="1" ht="18.75">
      <c r="A28" s="6"/>
      <c r="B28" s="31" t="s">
        <v>41</v>
      </c>
      <c r="C28" s="32">
        <f>'Box Canon'!AJ35</f>
      </c>
      <c r="D28" s="5"/>
      <c r="E28" s="5"/>
    </row>
    <row x14ac:dyDescent="0.25" r="29" customHeight="1" ht="18.75">
      <c r="A29" s="6"/>
      <c r="B29" s="31" t="s">
        <v>42</v>
      </c>
      <c r="C29" s="32">
        <f>'Box Canon'!AJ36</f>
      </c>
      <c r="D29" s="5"/>
      <c r="E29" s="5"/>
    </row>
    <row x14ac:dyDescent="0.25" r="30" customHeight="1" ht="18.75">
      <c r="A30" s="6"/>
      <c r="B30" s="31" t="s">
        <v>43</v>
      </c>
      <c r="C30" s="32">
        <f>'Box Canon'!AJ37</f>
      </c>
      <c r="D30" s="5"/>
      <c r="E30" s="5"/>
    </row>
    <row x14ac:dyDescent="0.25" r="31" customHeight="1" ht="18.75">
      <c r="A31" s="6"/>
      <c r="B31" s="11"/>
      <c r="C31" s="33"/>
      <c r="D31" s="5"/>
      <c r="E31" s="5"/>
    </row>
    <row x14ac:dyDescent="0.25" r="32" customHeight="1" ht="18.75">
      <c r="A32" s="6"/>
      <c r="B32" s="34" t="s">
        <v>44</v>
      </c>
      <c r="C32" s="35">
        <f>SUM(C25:C30)</f>
      </c>
      <c r="D32" s="5"/>
      <c r="E32" s="5"/>
    </row>
  </sheetData>
  <mergeCells count="1">
    <mergeCell ref="B24:C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8"/>
  <sheetViews>
    <sheetView workbookViewId="0"/>
  </sheetViews>
  <sheetFormatPr defaultRowHeight="15" x14ac:dyDescent="0.25"/>
  <cols>
    <col min="1" max="1" style="23" width="13.43357142857143" customWidth="1" bestFit="1"/>
    <col min="2" max="2" style="24" width="31.862142857142857" customWidth="1" bestFit="1"/>
    <col min="3" max="3" style="25" width="21.719285714285714" customWidth="1" bestFit="1"/>
    <col min="4" max="4" style="26" width="11.147857142857141" customWidth="1" bestFit="1"/>
    <col min="5" max="5" style="27" width="11.290714285714287" customWidth="1" bestFit="1"/>
  </cols>
  <sheetData>
    <row x14ac:dyDescent="0.25" r="1" customHeight="1" ht="18.75">
      <c r="A1" s="1" t="s">
        <v>0</v>
      </c>
      <c r="B1" s="2">
        <f>CONCATENATE('Cash Flow'!C1, " ",'Cash Flow'!D1)</f>
      </c>
      <c r="C1" s="3"/>
      <c r="D1" s="4"/>
      <c r="E1" s="5"/>
    </row>
    <row x14ac:dyDescent="0.25" r="2" customHeight="1" ht="18.75">
      <c r="A2" s="6"/>
      <c r="B2" s="7"/>
      <c r="C2" s="3"/>
      <c r="D2" s="4"/>
      <c r="E2" s="5"/>
    </row>
    <row x14ac:dyDescent="0.25" r="3" customHeight="1" ht="18.75">
      <c r="A3" s="8" t="s">
        <v>1</v>
      </c>
      <c r="B3" s="9" t="s">
        <v>2</v>
      </c>
      <c r="C3" s="10">
        <f>'Visitor Center'!AH3</f>
      </c>
      <c r="D3" s="4"/>
      <c r="E3" s="5"/>
    </row>
    <row x14ac:dyDescent="0.25" r="4" customHeight="1" ht="18.75">
      <c r="A4" s="11" t="s">
        <v>3</v>
      </c>
      <c r="B4" s="12" t="s">
        <v>4</v>
      </c>
      <c r="C4" s="13">
        <f>'Visitor Center'!AH4</f>
      </c>
      <c r="D4" s="4"/>
      <c r="E4" s="5"/>
    </row>
    <row x14ac:dyDescent="0.25" r="5" customHeight="1" ht="18.75">
      <c r="A5" s="11" t="s">
        <v>3</v>
      </c>
      <c r="B5" s="12" t="s">
        <v>5</v>
      </c>
      <c r="C5" s="13">
        <f>'Visitor Center'!AH5</f>
      </c>
      <c r="D5" s="4"/>
      <c r="E5" s="5"/>
    </row>
    <row x14ac:dyDescent="0.25" r="6" customHeight="1" ht="18.75">
      <c r="A6" s="11" t="s">
        <v>3</v>
      </c>
      <c r="B6" s="12" t="s">
        <v>6</v>
      </c>
      <c r="C6" s="13">
        <f>'Visitor Center'!AH6</f>
      </c>
      <c r="D6" s="4"/>
      <c r="E6" s="5"/>
    </row>
    <row x14ac:dyDescent="0.25" r="7" customHeight="1" ht="18.75">
      <c r="A7" s="11" t="s">
        <v>7</v>
      </c>
      <c r="B7" s="12" t="s">
        <v>8</v>
      </c>
      <c r="C7" s="13">
        <f>-'Visitor Center'!AL13</f>
      </c>
      <c r="D7" s="4"/>
      <c r="E7" s="5"/>
    </row>
    <row x14ac:dyDescent="0.25" r="8" customHeight="1" ht="18.75">
      <c r="A8" s="14"/>
      <c r="B8" s="15"/>
      <c r="C8" s="16"/>
      <c r="D8" s="17"/>
      <c r="E8" s="17"/>
    </row>
    <row x14ac:dyDescent="0.25" r="9" customHeight="1" ht="18.75">
      <c r="A9" s="6"/>
      <c r="B9" s="18" t="s">
        <v>9</v>
      </c>
      <c r="C9" s="19"/>
      <c r="D9" s="20">
        <f>SUM(C3:C7)</f>
      </c>
      <c r="E9" s="5"/>
    </row>
    <row x14ac:dyDescent="0.25" r="10" customHeight="1" ht="18.75">
      <c r="A10" s="6"/>
      <c r="B10" s="7"/>
      <c r="C10" s="21"/>
      <c r="D10" s="4"/>
      <c r="E10" s="5"/>
    </row>
    <row x14ac:dyDescent="0.25" r="11" customHeight="1" ht="18.75">
      <c r="A11" s="8" t="s">
        <v>10</v>
      </c>
      <c r="B11" s="9" t="s">
        <v>11</v>
      </c>
      <c r="C11" s="10">
        <f>'Visitor Center'!AL9</f>
      </c>
      <c r="D11" s="4"/>
      <c r="E11" s="5"/>
    </row>
    <row x14ac:dyDescent="0.25" r="12" customHeight="1" ht="18.75">
      <c r="A12" s="11" t="s">
        <v>10</v>
      </c>
      <c r="B12" s="12" t="s">
        <v>12</v>
      </c>
      <c r="C12" s="13">
        <f>'Visitor Center'!AM9</f>
      </c>
      <c r="D12" s="4"/>
      <c r="E12" s="5"/>
    </row>
    <row x14ac:dyDescent="0.25" r="13" customHeight="1" ht="18.75">
      <c r="A13" s="11" t="s">
        <v>10</v>
      </c>
      <c r="B13" s="12" t="s">
        <v>13</v>
      </c>
      <c r="C13" s="13">
        <f>'Visitor Center'!AL10</f>
      </c>
      <c r="D13" s="4"/>
      <c r="E13" s="22">
        <f>D9-D18</f>
      </c>
    </row>
    <row x14ac:dyDescent="0.25" r="14" customHeight="1" ht="18.75">
      <c r="A14" s="11" t="s">
        <v>10</v>
      </c>
      <c r="B14" s="12" t="s">
        <v>14</v>
      </c>
      <c r="C14" s="13">
        <f>'Visitor Center'!AM10</f>
      </c>
      <c r="D14" s="4"/>
      <c r="E14" s="5"/>
    </row>
    <row x14ac:dyDescent="0.25" r="15" customHeight="1" ht="18.75">
      <c r="A15" s="11" t="s">
        <v>15</v>
      </c>
      <c r="B15" s="12" t="s">
        <v>16</v>
      </c>
      <c r="C15" s="13">
        <f>'Visitor Center'!AL15+'Visitor Center'!AM15</f>
      </c>
      <c r="D15" s="4"/>
      <c r="E15" s="5"/>
    </row>
    <row x14ac:dyDescent="0.25" r="16" customHeight="1" ht="18.75">
      <c r="A16" s="11"/>
      <c r="B16" s="12"/>
      <c r="C16" s="13"/>
      <c r="D16" s="4"/>
      <c r="E16" s="5"/>
    </row>
    <row x14ac:dyDescent="0.25" r="17" customHeight="1" ht="18.75">
      <c r="A17" s="14"/>
      <c r="B17" s="15"/>
      <c r="C17" s="16"/>
      <c r="D17" s="17"/>
      <c r="E17" s="5"/>
    </row>
    <row x14ac:dyDescent="0.25" r="18" customHeight="1" ht="18.75">
      <c r="A18" s="6"/>
      <c r="B18" s="18" t="s">
        <v>17</v>
      </c>
      <c r="C18" s="19"/>
      <c r="D18" s="20">
        <f>SUM(C11:C16)</f>
      </c>
      <c r="E18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Cash Flow</vt:lpstr>
      <vt:lpstr>Pool</vt:lpstr>
      <vt:lpstr>Pool Stats</vt:lpstr>
      <vt:lpstr>Box Canon</vt:lpstr>
      <vt:lpstr>Visitor Center</vt:lpstr>
      <vt:lpstr>POOL JE</vt:lpstr>
      <vt:lpstr>Box Cañon JE</vt:lpstr>
      <vt:lpstr>Visitor Center JE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2024-08-29T17:04:18.096Z</dcterms:created>
  <dcterms:modified xsi:type="dcterms:W3CDTF">2024-08-29T17:04:18.096Z</dcterms:modified>
</cp:coreProperties>
</file>