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Box Cañon JE" sheetId="7" r:id="rId5"/>
    <sheet name="POOL JE" sheetId="5" r:id="rId6"/>
  </sheets>
  <externalReferences>
    <externalReference r:id="rId7"/>
  </externalReferences>
  <definedNames>
    <definedName name="_xlnm.Print_Area" localSheetId="3">'Box Canon'!$A$2:$AH$46</definedName>
    <definedName name="_xlnm.Print_Area" localSheetId="4">'Box Cañon JE'!$A$1:$D$33</definedName>
    <definedName name="_xlnm.Print_Area" localSheetId="1">Pool!$A$1:$AH$54</definedName>
    <definedName name="_xlnm.Print_Area" localSheetId="5">'POOL JE'!$A$1:$C$61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5" i="3" l="1"/>
  <c r="AE34" i="3" l="1"/>
  <c r="AL34" i="3"/>
  <c r="AE21" i="9"/>
  <c r="AE27" i="9"/>
  <c r="AA45" i="3"/>
  <c r="AL22" i="9" l="1"/>
  <c r="AM21" i="9"/>
  <c r="AL21" i="9"/>
  <c r="AM20" i="9"/>
  <c r="AL20" i="9"/>
  <c r="AM29" i="9"/>
  <c r="AL29" i="9"/>
  <c r="AH29" i="9"/>
  <c r="AG44" i="9"/>
  <c r="AG39" i="9"/>
  <c r="AG40" i="9"/>
  <c r="AG43" i="9"/>
  <c r="D45" i="3" l="1"/>
  <c r="D34" i="3"/>
  <c r="AF8" i="3"/>
  <c r="AF20" i="3"/>
  <c r="AE29" i="9" l="1"/>
  <c r="AA29" i="9" l="1"/>
  <c r="AA20" i="9"/>
  <c r="AA34" i="3"/>
  <c r="AM22" i="9" l="1"/>
  <c r="AD14" i="9" l="1"/>
  <c r="AH14" i="9" s="1"/>
  <c r="AH21" i="9"/>
  <c r="C18" i="7"/>
  <c r="C17" i="7"/>
  <c r="AH18" i="9"/>
  <c r="O26" i="9"/>
  <c r="P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H27" i="9"/>
  <c r="AL24" i="9" s="1"/>
  <c r="AL25" i="9" s="1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A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B24" i="9"/>
  <c r="AC24" i="9"/>
  <c r="AD24" i="9"/>
  <c r="AE24" i="9"/>
  <c r="AF24" i="9"/>
  <c r="AG24" i="9"/>
  <c r="C24" i="9"/>
  <c r="AH19" i="9"/>
  <c r="AH3" i="9"/>
  <c r="AG15" i="9"/>
  <c r="AH4" i="9"/>
  <c r="AH5" i="9"/>
  <c r="AH6" i="9"/>
  <c r="AH7" i="9"/>
  <c r="AE18" i="9"/>
  <c r="V47" i="3"/>
  <c r="O47" i="3"/>
  <c r="AA4" i="3"/>
  <c r="AA47" i="3"/>
  <c r="C5" i="5"/>
  <c r="AM45" i="3"/>
  <c r="AM34" i="3" s="1"/>
  <c r="AL45" i="3"/>
  <c r="AM33" i="3"/>
  <c r="AL33" i="3"/>
  <c r="AE17" i="3"/>
  <c r="AE8" i="3"/>
  <c r="AD8" i="3"/>
  <c r="AC8" i="3"/>
  <c r="AA17" i="3"/>
  <c r="AA8" i="3"/>
  <c r="C13" i="7" l="1"/>
  <c r="AF38" i="9"/>
  <c r="AF44" i="9"/>
  <c r="AF43" i="9"/>
  <c r="AF40" i="9"/>
  <c r="AF39" i="9"/>
  <c r="AF4" i="9"/>
  <c r="AE43" i="9"/>
  <c r="AE39" i="9"/>
  <c r="AE10" i="9"/>
  <c r="AD44" i="9"/>
  <c r="AD43" i="9"/>
  <c r="AD41" i="9"/>
  <c r="AD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G41" i="9"/>
  <c r="C41" i="9"/>
  <c r="AH41" i="9" s="1"/>
  <c r="AD42" i="9"/>
  <c r="AD39" i="9"/>
  <c r="C19" i="7" l="1"/>
  <c r="C20" i="7" l="1"/>
  <c r="AA4" i="9" l="1"/>
  <c r="E34" i="9"/>
  <c r="G34" i="9"/>
  <c r="H34" i="9"/>
  <c r="K34" i="9"/>
  <c r="L34" i="9"/>
  <c r="L38" i="9" s="1"/>
  <c r="N34" i="9"/>
  <c r="O34" i="9"/>
  <c r="P34" i="9"/>
  <c r="S34" i="9"/>
  <c r="T34" i="9"/>
  <c r="U34" i="9"/>
  <c r="V34" i="9"/>
  <c r="W34" i="9"/>
  <c r="Z34" i="9"/>
  <c r="AC34" i="9"/>
  <c r="AE34" i="9"/>
  <c r="AG34" i="9"/>
  <c r="D34" i="9"/>
  <c r="V4" i="3"/>
  <c r="O4" i="3"/>
  <c r="Z17" i="3"/>
  <c r="Z8" i="3"/>
  <c r="X17" i="3"/>
  <c r="X8" i="3"/>
  <c r="W17" i="3"/>
  <c r="W8" i="3"/>
  <c r="V8" i="3"/>
  <c r="AH34" i="9" l="1"/>
  <c r="R8" i="3"/>
  <c r="Q8" i="3"/>
  <c r="P8" i="3"/>
  <c r="O8" i="3"/>
  <c r="N8" i="3"/>
  <c r="AJ34" i="9" l="1"/>
  <c r="C27" i="7" s="1"/>
  <c r="F8" i="3"/>
  <c r="G14" i="3"/>
  <c r="G8" i="3"/>
  <c r="M8" i="3"/>
  <c r="J8" i="3"/>
  <c r="I8" i="3"/>
  <c r="H8" i="3"/>
  <c r="D14" i="3" l="1"/>
  <c r="D8" i="3"/>
  <c r="C8" i="3"/>
  <c r="H6" i="9" l="1"/>
  <c r="G6" i="9" l="1"/>
  <c r="D3" i="9" l="1"/>
  <c r="D6" i="9"/>
  <c r="D4" i="9"/>
  <c r="AH45" i="3" l="1"/>
  <c r="C42" i="5" l="1"/>
  <c r="C43" i="5"/>
  <c r="AM35" i="3" l="1"/>
  <c r="AL35" i="3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H8" i="9" l="1"/>
  <c r="AH15" i="9"/>
  <c r="D22" i="7"/>
  <c r="C39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C40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E37" i="9"/>
  <c r="AE37" i="9"/>
  <c r="D35" i="9"/>
  <c r="E35" i="9"/>
  <c r="E38" i="9" s="1"/>
  <c r="F35" i="9"/>
  <c r="F38" i="9" s="1"/>
  <c r="G35" i="9"/>
  <c r="H35" i="9"/>
  <c r="I35" i="9"/>
  <c r="I38" i="9" s="1"/>
  <c r="J35" i="9"/>
  <c r="K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AC35" i="9"/>
  <c r="AD35" i="9"/>
  <c r="AE35" i="9"/>
  <c r="AG35" i="9"/>
  <c r="D33" i="9"/>
  <c r="G33" i="9"/>
  <c r="AE33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9" i="9"/>
  <c r="AH10" i="9"/>
  <c r="AH11" i="9"/>
  <c r="AH12" i="9"/>
  <c r="AH13" i="9"/>
  <c r="A18" i="9"/>
  <c r="A19" i="9"/>
  <c r="A20" i="9"/>
  <c r="AH20" i="9"/>
  <c r="A21" i="9"/>
  <c r="AH22" i="9"/>
  <c r="AH24" i="9" l="1"/>
  <c r="AN25" i="9" s="1"/>
  <c r="AF45" i="9"/>
  <c r="AF46" i="9"/>
  <c r="C6" i="7"/>
  <c r="C3" i="7"/>
  <c r="F46" i="9"/>
  <c r="E46" i="9"/>
  <c r="C46" i="9"/>
  <c r="C38" i="9"/>
  <c r="U38" i="9"/>
  <c r="U46" i="9"/>
  <c r="AG46" i="9"/>
  <c r="AG38" i="9"/>
  <c r="Y46" i="9"/>
  <c r="Y38" i="9"/>
  <c r="T38" i="9"/>
  <c r="T46" i="9"/>
  <c r="K38" i="9"/>
  <c r="K46" i="9"/>
  <c r="G38" i="9"/>
  <c r="G46" i="9"/>
  <c r="S38" i="9"/>
  <c r="S46" i="9"/>
  <c r="J38" i="9"/>
  <c r="J46" i="9"/>
  <c r="W38" i="9"/>
  <c r="W46" i="9"/>
  <c r="V38" i="9"/>
  <c r="V46" i="9"/>
  <c r="Z46" i="9"/>
  <c r="Z38" i="9"/>
  <c r="M38" i="9"/>
  <c r="M46" i="9"/>
  <c r="D38" i="9"/>
  <c r="D46" i="9"/>
  <c r="R38" i="9"/>
  <c r="R46" i="9"/>
  <c r="I46" i="9"/>
  <c r="AD38" i="9"/>
  <c r="AD46" i="9"/>
  <c r="Q46" i="9"/>
  <c r="Q38" i="9"/>
  <c r="H46" i="9"/>
  <c r="H38" i="9"/>
  <c r="AB38" i="9"/>
  <c r="AB46" i="9"/>
  <c r="O38" i="9"/>
  <c r="O46" i="9"/>
  <c r="AA38" i="9"/>
  <c r="AA46" i="9"/>
  <c r="N38" i="9"/>
  <c r="N46" i="9"/>
  <c r="AE38" i="9"/>
  <c r="AE46" i="9"/>
  <c r="L46" i="9"/>
  <c r="AC38" i="9"/>
  <c r="AC46" i="9"/>
  <c r="X46" i="9"/>
  <c r="X38" i="9"/>
  <c r="P46" i="9"/>
  <c r="P38" i="9"/>
  <c r="C45" i="9"/>
  <c r="H45" i="9"/>
  <c r="P45" i="9"/>
  <c r="X45" i="9"/>
  <c r="D45" i="9"/>
  <c r="I45" i="9"/>
  <c r="Q45" i="9"/>
  <c r="AH42" i="9"/>
  <c r="AH36" i="9"/>
  <c r="L45" i="9"/>
  <c r="T45" i="9"/>
  <c r="AB45" i="9"/>
  <c r="AH40" i="9"/>
  <c r="AD45" i="9"/>
  <c r="C4" i="7"/>
  <c r="F45" i="9"/>
  <c r="C7" i="7"/>
  <c r="AC45" i="9"/>
  <c r="AH39" i="9"/>
  <c r="AJ32" i="9" s="1"/>
  <c r="C25" i="7" s="1"/>
  <c r="E45" i="9"/>
  <c r="V45" i="9"/>
  <c r="G45" i="9"/>
  <c r="O45" i="9"/>
  <c r="W45" i="9"/>
  <c r="AE45" i="9"/>
  <c r="Y45" i="9"/>
  <c r="AG45" i="9"/>
  <c r="J45" i="9"/>
  <c r="R45" i="9"/>
  <c r="AH44" i="9"/>
  <c r="N45" i="9"/>
  <c r="C5" i="7"/>
  <c r="AA45" i="9"/>
  <c r="U45" i="9"/>
  <c r="M45" i="9"/>
  <c r="AH43" i="9"/>
  <c r="AJ36" i="9" s="1"/>
  <c r="C29" i="7" s="1"/>
  <c r="S45" i="9"/>
  <c r="K45" i="9"/>
  <c r="Z45" i="9"/>
  <c r="AH32" i="9"/>
  <c r="AH33" i="9"/>
  <c r="AH37" i="9"/>
  <c r="AH35" i="9"/>
  <c r="AJ35" i="9" s="1"/>
  <c r="C28" i="7" s="1"/>
  <c r="AH26" i="9"/>
  <c r="AJ37" i="9" l="1"/>
  <c r="C30" i="7" s="1"/>
  <c r="AJ33" i="9"/>
  <c r="C26" i="7" s="1"/>
  <c r="AH46" i="9"/>
  <c r="AJ46" i="9" s="1"/>
  <c r="AH45" i="9"/>
  <c r="AH38" i="9"/>
  <c r="C32" i="7" l="1"/>
  <c r="C9" i="7"/>
  <c r="D11" i="7" s="1"/>
  <c r="AH5" i="3"/>
  <c r="AH20" i="3" l="1"/>
  <c r="C16" i="5" s="1"/>
  <c r="AH9" i="3"/>
  <c r="C7" i="5" s="1"/>
  <c r="AH10" i="3"/>
  <c r="C8" i="5" s="1"/>
  <c r="AH11" i="3"/>
  <c r="C27" i="5" s="1"/>
  <c r="AH12" i="3"/>
  <c r="C28" i="5" s="1"/>
  <c r="AH13" i="3"/>
  <c r="C29" i="5" s="1"/>
  <c r="B1" i="3" l="1"/>
  <c r="AH29" i="3" l="1"/>
  <c r="D54" i="3" l="1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C54" i="3"/>
  <c r="AH8" i="3" l="1"/>
  <c r="C6" i="5" s="1"/>
  <c r="AH7" i="3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61" i="5" s="1"/>
  <c r="AH59" i="3"/>
  <c r="AJ59" i="3" s="1"/>
  <c r="M34" i="8" s="1"/>
  <c r="AH58" i="3"/>
  <c r="AJ58" i="3" s="1"/>
  <c r="L34" i="8" s="1"/>
  <c r="AH57" i="3"/>
  <c r="AJ57" i="3" s="1"/>
  <c r="K34" i="8" s="1"/>
  <c r="C60" i="5" l="1"/>
  <c r="C59" i="5"/>
  <c r="C58" i="5"/>
  <c r="AH30" i="3" l="1"/>
  <c r="C45" i="5" l="1"/>
  <c r="C41" i="5"/>
  <c r="C39" i="5"/>
  <c r="C37" i="5"/>
  <c r="C38" i="5" l="1"/>
  <c r="C36" i="5" l="1"/>
  <c r="AH54" i="3" l="1"/>
  <c r="AJ54" i="3" s="1"/>
  <c r="C55" i="5" s="1"/>
  <c r="B8" i="2"/>
  <c r="B1" i="7" l="1"/>
  <c r="AH16" i="3" l="1"/>
  <c r="C11" i="5" s="1"/>
  <c r="AH17" i="3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C50" i="3"/>
  <c r="C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40" i="5" s="1"/>
  <c r="AH36" i="3"/>
  <c r="AH37" i="3"/>
  <c r="AL37" i="3" s="1"/>
  <c r="C47" i="5" s="1"/>
  <c r="AH38" i="3"/>
  <c r="AL38" i="3" s="1"/>
  <c r="C48" i="5" s="1"/>
  <c r="AJ48" i="3" l="1"/>
  <c r="C52" i="5" s="1"/>
  <c r="AL39" i="3"/>
  <c r="C44" i="5"/>
  <c r="O34" i="8"/>
  <c r="C51" i="5"/>
  <c r="C53" i="5" l="1"/>
  <c r="AH52" i="3"/>
  <c r="AJ52" i="3" s="1"/>
  <c r="AH50" i="3"/>
  <c r="AJ50" i="3" s="1"/>
  <c r="AH26" i="3" l="1"/>
  <c r="C21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H41" i="3" s="1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H31" i="3" s="1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AH6" i="3"/>
  <c r="AH14" i="3"/>
  <c r="C9" i="5" s="1"/>
  <c r="AH15" i="3"/>
  <c r="C10" i="5" s="1"/>
  <c r="AH18" i="3"/>
  <c r="AL18" i="3" s="1"/>
  <c r="AH19" i="3"/>
  <c r="C14" i="5" s="1"/>
  <c r="AH21" i="3"/>
  <c r="C15" i="5" s="1"/>
  <c r="AH22" i="3"/>
  <c r="C17" i="5" s="1"/>
  <c r="AH23" i="3"/>
  <c r="C18" i="5" s="1"/>
  <c r="AH24" i="3"/>
  <c r="C19" i="5" s="1"/>
  <c r="AH25" i="3"/>
  <c r="C20" i="5" s="1"/>
  <c r="AH27" i="3"/>
  <c r="C22" i="5" s="1"/>
  <c r="AH28" i="3"/>
  <c r="C30" i="5" s="1"/>
  <c r="AH3" i="3"/>
  <c r="C26" i="5" s="1"/>
  <c r="C43" i="3"/>
  <c r="C29" i="3"/>
  <c r="C31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1" i="5" l="1"/>
  <c r="C13" i="5"/>
  <c r="C12" i="5" s="1"/>
  <c r="A10" i="2"/>
  <c r="B9" i="2"/>
  <c r="C40" i="2"/>
  <c r="G40" i="2"/>
  <c r="E43" i="3"/>
  <c r="AH43" i="3" s="1"/>
  <c r="AH31" i="3"/>
  <c r="C39" i="3"/>
  <c r="O42" i="2"/>
  <c r="Q42" i="2"/>
  <c r="C4" i="5" l="1"/>
  <c r="C23" i="5" s="1"/>
  <c r="C33" i="5" s="1"/>
  <c r="A11" i="2"/>
  <c r="B10" i="2"/>
  <c r="AL43" i="3"/>
  <c r="AM44" i="3" s="1"/>
  <c r="AH39" i="3"/>
  <c r="C41" i="3"/>
  <c r="AH41" i="3" s="1"/>
  <c r="AN39" i="3" l="1"/>
  <c r="AJ41" i="3"/>
  <c r="C46" i="5"/>
  <c r="C49" i="5" s="1"/>
  <c r="AN44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40" i="2" l="1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AJ18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50-40-4030
50% 50-43-4010
</t>
        </r>
      </text>
    </comment>
    <comment ref="AF31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$390 online revenue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not sure what the $28 external charge is for
$32 online site transaction. Charge didn't get attached to a receipt, but refund failed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
bundle of $1 bills was short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Z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Julie Lancaster</author>
    <author>MartyJo Davis</author>
  </authors>
  <commentList>
    <comment ref="AE5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Admissions from when register was down, unknown how split between adult, senior, etc.</t>
        </r>
      </text>
    </comment>
    <comment ref="AE18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187 outstanding on May 31st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deposited with 5/9 batch</t>
        </r>
      </text>
    </comment>
    <comment ref="AN2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training day with new POS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I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external cc charges
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G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D2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E38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Cashier's total count was 409, register was down for 2 hours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<sst xmlns="http://schemas.openxmlformats.org/spreadsheetml/2006/main" count="476" uniqueCount="226">
  <si>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</si>
  <si>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</si>
  <si>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</si>
  <si>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</si>
  <si>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</si>
  <si>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</si>
  <si>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</si>
  <si>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</si>
  <si>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</si>
  <si>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</si>
  <si>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</si>
  <si>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</si>
  <si>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</si>
  <si>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</si>
  <si>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</si>
  <si>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</si>
  <si>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</si>
  <si>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</si>
  <si>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</si>
  <si>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</si>
  <si>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</si>
  <si>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</si>
  <si>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</si>
  <si>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</si>
  <si>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</si>
  <si>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</si>
  <si>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</si>
  <si>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</si>
  <si>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</si>
  <si>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</si>
  <si>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</si>
  <si>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</si>
  <si>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</si>
  <si>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</si>
  <si>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</si>
  <si>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</si>
  <si>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</si>
  <si>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</si>
  <si>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</si>
  <si>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</si>
  <si>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</si>
  <si>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</si>
  <si>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</si>
  <si>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</si>
  <si>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</si>
  <si>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</si>
  <si>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</si>
  <si>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</si>
  <si>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</si>
  <si>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</si>
  <si>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</si>
  <si>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</si>
  <si>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</si>
  <si>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</si>
  <si>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</si>
  <si>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</si>
  <si>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</si>
  <si>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</si>
  <si>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</si>
  <si>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</si>
  <si>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</si>
  <si>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</si>
  <si>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</si>
  <si>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</si>
  <si>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Pool/Gym Revenue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</si>
  <si>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</si>
  <si>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</si>
  <si>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</si>
  <si>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</si>
  <si>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</si>
  <si>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</si>
  <si>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</si>
  <si>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</si>
  <si>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</si>
  <si>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</si>
  <si>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</si>
  <si>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</si>
  <si>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</si>
  <si>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</si>
  <si>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</si>
  <si>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</si>
  <si>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</si>
  <si>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</si>
  <si>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</si>
  <si>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</si>
  <si>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</si>
  <si>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</si>
  <si>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</si>
  <si>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</si>
  <si>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</si>
  <si>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</si>
  <si>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</si>
  <si>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</si>
  <si>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</si>
  <si>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</si>
  <si>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</si>
  <si>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</si>
  <si>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</si>
  <si>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</si>
  <si>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</si>
  <si>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</si>
  <si>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</si>
  <si>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</si>
  <si>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</si>
  <si>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</si>
  <si>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</si>
  <si>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r>
      <t xml:space="preserve">Pool/Gym Revenue </t>
    </r>
    <r>
      <rPr>
        <i/>
        <sz val="8"/>
        <color theme="1"/>
        <rFont val="Calibri"/>
        <family val="2"/>
        <scheme val="minor"/>
      </rPr>
      <t>**50/50 **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</si>
  <si>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</si>
  <si>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</si>
  <si>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</si>
  <si>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</si>
  <si>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</si>
  <si>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</si>
  <si>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</si>
  <si>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</si>
  <si>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</si>
  <si>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</si>
  <si>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</si>
  <si>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</si>
  <si>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</si>
  <si>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</si>
  <si>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</si>
  <si>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</si>
  <si>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</si>
  <si>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</si>
  <si>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</si>
  <si>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</si>
  <si>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</si>
  <si>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</si>
  <si>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</si>
  <si>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</si>
  <si>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</si>
  <si>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</si>
  <si>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</si>
  <si>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</si>
  <si>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</si>
  <si>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</si>
  <si>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</si>
  <si>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</si>
  <si>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</si>
  <si>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</si>
  <si>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</si>
  <si>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</si>
  <si>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</si>
  <si>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</si>
  <si>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</si>
  <si>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</si>
  <si>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</si>
  <si>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</si>
  <si>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</si>
  <si>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</si>
  <si>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</si>
  <si>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</si>
  <si>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</si>
  <si>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</si>
  <si>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</si>
  <si>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</si>
  <si>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</si>
  <si>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</si>
  <si>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</si>
  <si>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</si>
  <si>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</si>
  <si>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</si>
  <si>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</si>
  <si>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</si>
  <si>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</si>
  <si>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</si>
  <si>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</si>
  <si>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</si>
  <si>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</si>
  <si>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</si>
  <si>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</si>
  <si>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</si>
  <si>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>Day use passes used at either gym or pool get split 50/50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</si>
  <si>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</si>
  <si>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</si>
  <si>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</si>
  <si>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</si>
  <si>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Admission - Motel Pass (Bulk)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</si>
  <si>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</si>
  <si>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</si>
  <si>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</si>
  <si>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</si>
  <si>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</si>
  <si>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</si>
  <si>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</si>
  <si>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</si>
  <si>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</si>
  <si>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</si>
  <si>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</si>
  <si>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</si>
  <si>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</si>
  <si>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</si>
  <si>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</si>
  <si>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</si>
  <si>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</si>
  <si>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</si>
  <si>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</si>
  <si>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</si>
  <si>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</si>
  <si>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</si>
  <si>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</si>
  <si>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**50/50**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</si>
  <si>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</si>
  <si>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</si>
  <si>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</si>
  <si>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</si>
  <si>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</si>
  <si>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</si>
  <si>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</si>
  <si>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</si>
  <si>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</si>
  <si>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</si>
  <si>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May</t>
  </si>
  <si>
    <t>50-51-6150</t>
  </si>
  <si>
    <t>Credit Card (less processing fees)</t>
  </si>
  <si>
    <t>Child (3 and Under)</t>
  </si>
  <si>
    <t>Concessions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</si>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</sst>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7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43" fontId="21" fillId="0" borderId="0" xfId="0" applyNumberFormat="1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43" fontId="23" fillId="0" borderId="20" xfId="1" applyNumberFormat="1" applyFont="1" applyBorder="1" applyProtection="1"/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0" fontId="12" fillId="0" borderId="37" xfId="0" applyFont="1" applyBorder="1" applyAlignment="1" applyProtection="1">
      <alignment horizontal="right"/>
      <protection locked="0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7" xfId="0" applyNumberFormat="1" applyFont="1" applyFill="1" applyBorder="1" applyProtection="1"/>
    <xf numFmtId="43" fontId="14" fillId="0" borderId="77" xfId="0" applyNumberFormat="1" applyFont="1" applyFill="1" applyBorder="1" applyProtection="1"/>
    <xf numFmtId="0" fontId="14" fillId="3" borderId="78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79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0" xfId="0" applyNumberFormat="1" applyFont="1" applyBorder="1" applyProtection="1"/>
    <xf numFmtId="43" fontId="12" fillId="0" borderId="81" xfId="0" applyNumberFormat="1" applyFont="1" applyBorder="1" applyProtection="1"/>
    <xf numFmtId="0" fontId="12" fillId="0" borderId="82" xfId="0" applyFont="1" applyFill="1" applyBorder="1" applyProtection="1"/>
    <xf numFmtId="0" fontId="0" fillId="0" borderId="83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79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0" fillId="0" borderId="36" xfId="0" applyBorder="1" applyAlignment="1" applyProtection="1">
      <alignment wrapText="1"/>
      <protection locked="0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0" fillId="0" borderId="72" xfId="0" applyBorder="1" applyProtection="1">
      <protection locked="0"/>
    </xf>
    <xf numFmtId="0" fontId="12" fillId="0" borderId="73" xfId="0" applyFont="1" applyBorder="1" applyProtection="1">
      <protection locked="0"/>
    </xf>
    <xf numFmtId="44" fontId="12" fillId="0" borderId="46" xfId="1" applyFont="1" applyBorder="1" applyProtection="1"/>
    <xf numFmtId="41" fontId="2" fillId="3" borderId="63" xfId="0" applyNumberFormat="1" applyFont="1" applyFill="1" applyBorder="1" applyProtection="1"/>
    <xf numFmtId="41" fontId="2" fillId="3" borderId="75" xfId="0" applyNumberFormat="1" applyFont="1" applyFill="1" applyBorder="1" applyProtection="1"/>
    <xf numFmtId="0" fontId="14" fillId="0" borderId="64" xfId="0" applyFont="1" applyFill="1" applyBorder="1" applyProtection="1">
      <protection locked="0"/>
    </xf>
    <xf numFmtId="43" fontId="12" fillId="0" borderId="23" xfId="0" applyNumberFormat="1" applyFont="1" applyBorder="1"/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4" xfId="0" applyFont="1" applyBorder="1" applyProtection="1"/>
    <xf numFmtId="43" fontId="14" fillId="0" borderId="75" xfId="0" applyNumberFormat="1" applyFont="1" applyFill="1" applyBorder="1" applyProtection="1"/>
    <xf numFmtId="44" fontId="13" fillId="0" borderId="0" xfId="0" applyNumberFormat="1" applyFont="1" applyProtection="1">
      <protection locked="0"/>
    </xf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44" fontId="45" fillId="0" borderId="46" xfId="1" applyFont="1" applyBorder="1" applyProtection="1"/>
    <xf numFmtId="44" fontId="45" fillId="0" borderId="58" xfId="1" applyFont="1" applyBorder="1" applyProtection="1"/>
    <xf numFmtId="44" fontId="0" fillId="0" borderId="47" xfId="1" applyFont="1" applyBorder="1" applyProtection="1">
      <protection locked="0"/>
    </xf>
    <xf numFmtId="43" fontId="45" fillId="0" borderId="18" xfId="0" applyNumberFormat="1" applyFont="1" applyBorder="1" applyProtection="1"/>
    <xf numFmtId="43" fontId="45" fillId="0" borderId="20" xfId="0" applyNumberFormat="1" applyFont="1" applyBorder="1" applyProtection="1"/>
    <xf numFmtId="0" fontId="45" fillId="0" borderId="73" xfId="0" applyFont="1" applyBorder="1" applyProtection="1">
      <protection locked="0"/>
    </xf>
    <xf numFmtId="43" fontId="45" fillId="0" borderId="9" xfId="0" applyNumberFormat="1" applyFont="1" applyBorder="1" applyProtection="1"/>
    <xf numFmtId="0" fontId="33" fillId="0" borderId="73" xfId="0" applyFont="1" applyBorder="1" applyProtection="1">
      <protection locked="0"/>
    </xf>
    <xf numFmtId="43" fontId="33" fillId="0" borderId="73" xfId="0" applyNumberFormat="1" applyFont="1" applyBorder="1" applyProtection="1">
      <protection locked="0"/>
    </xf>
    <xf numFmtId="2" fontId="12" fillId="0" borderId="73" xfId="0" applyNumberFormat="1" applyFont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0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213</v>
      </c>
      <c r="D1" s="384">
        <v>2022</v>
      </c>
      <c r="G1" s="217"/>
    </row>
    <row r="3" spans="1:22" x14ac:dyDescent="0.2">
      <c r="A3" s="5"/>
    </row>
    <row r="4" spans="1:22" s="1" customFormat="1" x14ac:dyDescent="0.2">
      <c r="B4" s="230"/>
      <c r="C4" s="471" t="s">
        <v>1</v>
      </c>
      <c r="D4" s="472"/>
      <c r="E4" s="472"/>
      <c r="F4" s="472"/>
      <c r="G4" s="472"/>
      <c r="H4" s="472"/>
      <c r="I4" s="472"/>
      <c r="J4" s="472"/>
      <c r="K4" s="472"/>
      <c r="L4" s="472"/>
      <c r="M4" s="473"/>
      <c r="N4" s="6"/>
      <c r="O4" s="474" t="s">
        <v>2</v>
      </c>
      <c r="P4" s="475"/>
      <c r="Q4" s="475"/>
      <c r="R4" s="476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2" t="s">
        <v>7</v>
      </c>
      <c r="J5" s="152" t="s">
        <v>8</v>
      </c>
      <c r="K5" s="152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111</v>
      </c>
      <c r="H6" s="14" t="s">
        <v>101</v>
      </c>
      <c r="I6" s="153" t="s">
        <v>12</v>
      </c>
      <c r="J6" s="153" t="s">
        <v>12</v>
      </c>
      <c r="K6" s="153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49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44682</v>
      </c>
      <c r="B8" s="232" t="str">
        <f>TEXT(A8, "DDD")</f>
        <v>Sun</v>
      </c>
      <c r="C8" s="150">
        <f t="array" ref="C8:C38">TRANSPOSE(Pool!C33:AG33)</f>
        <v>948.48</v>
      </c>
      <c r="D8" s="58">
        <f>'Box Canon'!C18+'Box Canon'!C19</f>
        <v>401.78</v>
      </c>
      <c r="E8" s="21"/>
      <c r="F8" s="21"/>
      <c r="G8" s="149">
        <f t="array" ref="G8:G38">TRANSPOSE(Pool!C34:AG34)</f>
        <v>3254</v>
      </c>
      <c r="H8" s="149">
        <f t="array" ref="H8:H38">TRANSPOSE(Pool!C35:AG35)</f>
        <v>0</v>
      </c>
      <c r="I8" s="149">
        <f>'Box Canon'!C20+'Box Canon'!C21</f>
        <v>409</v>
      </c>
      <c r="J8" s="147"/>
      <c r="K8" s="147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44683</v>
      </c>
      <c r="B9" s="232" t="str">
        <f t="shared" ref="B9:B38" si="0">TEXT(A9, "DDD")</f>
        <v>Mon</v>
      </c>
      <c r="C9" s="150">
        <v>784.41</v>
      </c>
      <c r="D9" s="58">
        <f>'Box Canon'!D18+'Box Canon'!D19</f>
        <v>105</v>
      </c>
      <c r="E9" s="21"/>
      <c r="F9" s="21"/>
      <c r="G9" s="149">
        <v>1642.35</v>
      </c>
      <c r="H9" s="149">
        <v>28</v>
      </c>
      <c r="I9" s="149">
        <f>'Box Canon'!D20+'Box Canon'!D21</f>
        <v>147.16999999999999</v>
      </c>
      <c r="J9" s="147"/>
      <c r="K9" s="147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44684</v>
      </c>
      <c r="B10" s="232" t="str">
        <f t="shared" si="0"/>
        <v>Tue</v>
      </c>
      <c r="C10" s="150">
        <v>0</v>
      </c>
      <c r="D10" s="58">
        <f>'Box Canon'!E18+'Box Canon'!E19</f>
        <v>180.66</v>
      </c>
      <c r="E10" s="21"/>
      <c r="F10" s="21"/>
      <c r="G10" s="149">
        <v>290</v>
      </c>
      <c r="H10" s="149">
        <v>0</v>
      </c>
      <c r="I10" s="149">
        <f>'Box Canon'!E20+'Box Canon'!E21</f>
        <v>227.84</v>
      </c>
      <c r="J10" s="147"/>
      <c r="K10" s="147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44685</v>
      </c>
      <c r="B11" s="232" t="str">
        <f t="shared" si="0"/>
        <v>Wed</v>
      </c>
      <c r="C11" s="150">
        <v>468.77</v>
      </c>
      <c r="D11" s="58">
        <f>'Box Canon'!F18+'Box Canon'!F19</f>
        <v>610.95000000000005</v>
      </c>
      <c r="E11" s="21"/>
      <c r="F11" s="21"/>
      <c r="G11" s="149">
        <v>1149.3499999999999</v>
      </c>
      <c r="H11" s="151">
        <v>0</v>
      </c>
      <c r="I11" s="149">
        <f>'Box Canon'!F20+'Box Canon'!F21</f>
        <v>149.6</v>
      </c>
      <c r="J11" s="147"/>
      <c r="K11" s="147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44686</v>
      </c>
      <c r="B12" s="232" t="str">
        <f t="shared" si="0"/>
        <v>Thu</v>
      </c>
      <c r="C12" s="150">
        <v>303.56</v>
      </c>
      <c r="D12" s="58">
        <f>'Box Canon'!G18+'Box Canon'!G19</f>
        <v>342.1</v>
      </c>
      <c r="E12" s="21"/>
      <c r="F12" s="21"/>
      <c r="G12" s="149">
        <v>1566.19</v>
      </c>
      <c r="H12" s="151">
        <v>0</v>
      </c>
      <c r="I12" s="149">
        <f>'Box Canon'!G20+'Box Canon'!G21</f>
        <v>233.95</v>
      </c>
      <c r="J12" s="147"/>
      <c r="K12" s="147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44687</v>
      </c>
      <c r="B13" s="232" t="str">
        <f t="shared" si="0"/>
        <v>Fri</v>
      </c>
      <c r="C13" s="150">
        <v>815.61</v>
      </c>
      <c r="D13" s="58">
        <f>'Box Canon'!H18+'Box Canon'!H19</f>
        <v>342.14</v>
      </c>
      <c r="E13" s="21"/>
      <c r="F13" s="21"/>
      <c r="G13" s="149">
        <v>2247.34</v>
      </c>
      <c r="H13" s="151">
        <v>0</v>
      </c>
      <c r="I13" s="149">
        <f>'Box Canon'!H20+'Box Canon'!H21</f>
        <v>465.69</v>
      </c>
      <c r="J13" s="147"/>
      <c r="K13" s="147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44688</v>
      </c>
      <c r="B14" s="232" t="str">
        <f t="shared" si="0"/>
        <v>Sat</v>
      </c>
      <c r="C14" s="150">
        <v>1413.42</v>
      </c>
      <c r="D14" s="58">
        <f>'Box Canon'!I18+'Box Canon'!I19</f>
        <v>510.44</v>
      </c>
      <c r="E14" s="21"/>
      <c r="F14" s="21"/>
      <c r="G14" s="149">
        <v>5000.6899999999996</v>
      </c>
      <c r="H14" s="151">
        <v>0</v>
      </c>
      <c r="I14" s="149">
        <f>'Box Canon'!I20+'Box Canon'!I21</f>
        <v>465.43</v>
      </c>
      <c r="J14" s="147"/>
      <c r="K14" s="147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44689</v>
      </c>
      <c r="B15" s="232" t="str">
        <f t="shared" si="0"/>
        <v>Sun</v>
      </c>
      <c r="C15" s="150">
        <v>1132.23</v>
      </c>
      <c r="D15" s="58">
        <f>'Box Canon'!J18+'Box Canon'!J19</f>
        <v>592.30999999999995</v>
      </c>
      <c r="E15" s="21"/>
      <c r="F15" s="21"/>
      <c r="G15" s="149">
        <v>3242.16</v>
      </c>
      <c r="H15" s="151">
        <v>0</v>
      </c>
      <c r="I15" s="149">
        <f>'Box Canon'!J20+'Box Canon'!J21</f>
        <v>731.25</v>
      </c>
      <c r="J15" s="147"/>
      <c r="K15" s="147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44690</v>
      </c>
      <c r="B16" s="232" t="str">
        <f t="shared" si="0"/>
        <v>Mon</v>
      </c>
      <c r="C16" s="150">
        <v>342.55</v>
      </c>
      <c r="D16" s="58">
        <f>'Box Canon'!K18+'Box Canon'!K19</f>
        <v>349.7</v>
      </c>
      <c r="E16" s="21"/>
      <c r="F16" s="21"/>
      <c r="G16" s="149">
        <v>537.33000000000004</v>
      </c>
      <c r="H16" s="151">
        <v>0</v>
      </c>
      <c r="I16" s="149">
        <f>'Box Canon'!K20+'Box Canon'!K21</f>
        <v>148.97</v>
      </c>
      <c r="J16" s="147"/>
      <c r="K16" s="147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44691</v>
      </c>
      <c r="B17" s="232" t="str">
        <f t="shared" si="0"/>
        <v>Tue</v>
      </c>
      <c r="C17" s="150">
        <v>0</v>
      </c>
      <c r="D17" s="58">
        <f>'Box Canon'!L18+'Box Canon'!L19</f>
        <v>416.19</v>
      </c>
      <c r="E17" s="21"/>
      <c r="F17" s="21"/>
      <c r="G17" s="149">
        <v>0</v>
      </c>
      <c r="H17" s="151">
        <v>0</v>
      </c>
      <c r="I17" s="149">
        <f>'Box Canon'!L20+'Box Canon'!L21</f>
        <v>166.26</v>
      </c>
      <c r="J17" s="147"/>
      <c r="K17" s="147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44692</v>
      </c>
      <c r="B18" s="232" t="str">
        <f t="shared" si="0"/>
        <v>Wed</v>
      </c>
      <c r="C18" s="150">
        <v>364.92</v>
      </c>
      <c r="D18" s="58">
        <f>'Box Canon'!M18+'Box Canon'!M19</f>
        <v>281.08999999999997</v>
      </c>
      <c r="E18" s="21"/>
      <c r="F18" s="21"/>
      <c r="G18" s="149">
        <v>2218.0500000000002</v>
      </c>
      <c r="H18" s="151">
        <v>0</v>
      </c>
      <c r="I18" s="149">
        <f>'Box Canon'!M20+'Box Canon'!M21</f>
        <v>505.24</v>
      </c>
      <c r="J18" s="147"/>
      <c r="K18" s="148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44693</v>
      </c>
      <c r="B19" s="232" t="str">
        <f t="shared" si="0"/>
        <v>Thu</v>
      </c>
      <c r="C19" s="150">
        <v>342.7</v>
      </c>
      <c r="D19" s="58">
        <f>'Box Canon'!N18+'Box Canon'!N19</f>
        <v>378.85</v>
      </c>
      <c r="E19" s="21"/>
      <c r="F19" s="21"/>
      <c r="G19" s="149">
        <v>1474.45</v>
      </c>
      <c r="H19" s="151">
        <v>0</v>
      </c>
      <c r="I19" s="149">
        <f>'Box Canon'!N20+'Box Canon'!N21</f>
        <v>373.75</v>
      </c>
      <c r="J19" s="147"/>
      <c r="K19" s="147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44694</v>
      </c>
      <c r="B20" s="232" t="str">
        <f t="shared" si="0"/>
        <v>Fri</v>
      </c>
      <c r="C20" s="150">
        <v>1768</v>
      </c>
      <c r="D20" s="58">
        <f>'Box Canon'!O18+'Box Canon'!O19</f>
        <v>426.9</v>
      </c>
      <c r="E20" s="21"/>
      <c r="F20" s="21"/>
      <c r="G20" s="149">
        <v>2235.15</v>
      </c>
      <c r="H20" s="151">
        <v>0</v>
      </c>
      <c r="I20" s="149">
        <f>'Box Canon'!O20+'Box Canon'!O21</f>
        <v>411.43</v>
      </c>
      <c r="J20" s="147"/>
      <c r="K20" s="147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44695</v>
      </c>
      <c r="B21" s="232" t="str">
        <f t="shared" si="0"/>
        <v>Sat</v>
      </c>
      <c r="C21" s="150">
        <v>1126.28</v>
      </c>
      <c r="D21" s="58">
        <f>'Box Canon'!P18+'Box Canon'!P19</f>
        <v>850.84</v>
      </c>
      <c r="E21" s="41"/>
      <c r="F21" s="21"/>
      <c r="G21" s="149">
        <v>5826.89</v>
      </c>
      <c r="H21" s="151">
        <v>0</v>
      </c>
      <c r="I21" s="149">
        <f>'Box Canon'!P20+'Box Canon'!P21</f>
        <v>1041.52</v>
      </c>
      <c r="J21" s="147"/>
      <c r="K21" s="147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44696</v>
      </c>
      <c r="B22" s="232" t="str">
        <f t="shared" si="0"/>
        <v>Sun</v>
      </c>
      <c r="C22" s="150">
        <v>1663.31</v>
      </c>
      <c r="D22" s="58">
        <f>'Box Canon'!Q18+'Box Canon'!Q19</f>
        <v>740.5</v>
      </c>
      <c r="E22" s="21"/>
      <c r="F22" s="21"/>
      <c r="G22" s="149">
        <v>5309.49</v>
      </c>
      <c r="H22" s="151">
        <v>0</v>
      </c>
      <c r="I22" s="149">
        <f>'Box Canon'!Q20+'Box Canon'!Q21</f>
        <v>712.69</v>
      </c>
      <c r="J22" s="147"/>
      <c r="K22" s="147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44697</v>
      </c>
      <c r="B23" s="232" t="str">
        <f t="shared" si="0"/>
        <v>Mon</v>
      </c>
      <c r="C23" s="150">
        <v>423.2</v>
      </c>
      <c r="D23" s="58">
        <f>'Box Canon'!R18+'Box Canon'!R19</f>
        <v>576.24</v>
      </c>
      <c r="E23" s="21"/>
      <c r="F23" s="21"/>
      <c r="G23" s="149">
        <v>2360.25</v>
      </c>
      <c r="H23" s="151">
        <v>0</v>
      </c>
      <c r="I23" s="149">
        <f>'Box Canon'!R20+'Box Canon'!R21</f>
        <v>368.91</v>
      </c>
      <c r="J23" s="147"/>
      <c r="K23" s="147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44698</v>
      </c>
      <c r="B24" s="232" t="str">
        <f t="shared" si="0"/>
        <v>Tue</v>
      </c>
      <c r="C24" s="150">
        <v>0</v>
      </c>
      <c r="D24" s="58">
        <f>'Box Canon'!S18+'Box Canon'!S19</f>
        <v>387.03</v>
      </c>
      <c r="E24" s="21"/>
      <c r="F24" s="21"/>
      <c r="G24" s="149">
        <v>0</v>
      </c>
      <c r="H24" s="151">
        <v>0</v>
      </c>
      <c r="I24" s="149">
        <f>'Box Canon'!S20+'Box Canon'!S21</f>
        <v>450.53</v>
      </c>
      <c r="J24" s="147"/>
      <c r="K24" s="147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44699</v>
      </c>
      <c r="B25" s="232" t="str">
        <f t="shared" si="0"/>
        <v>Wed</v>
      </c>
      <c r="C25" s="150">
        <v>463.17</v>
      </c>
      <c r="D25" s="58">
        <f>'Box Canon'!T18+'Box Canon'!T19</f>
        <v>295.45</v>
      </c>
      <c r="E25" s="21"/>
      <c r="F25" s="21"/>
      <c r="G25" s="149">
        <v>2078.4499999999998</v>
      </c>
      <c r="H25" s="151">
        <v>0</v>
      </c>
      <c r="I25" s="149">
        <f>'Box Canon'!T20+'Box Canon'!T21</f>
        <v>393.72</v>
      </c>
      <c r="J25" s="147"/>
      <c r="K25" s="147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44700</v>
      </c>
      <c r="B26" s="232" t="str">
        <f t="shared" si="0"/>
        <v>Thu</v>
      </c>
      <c r="C26" s="150">
        <v>662.57</v>
      </c>
      <c r="D26" s="58">
        <f>'Box Canon'!U18+'Box Canon'!U19</f>
        <v>562.91999999999996</v>
      </c>
      <c r="E26" s="21"/>
      <c r="F26" s="21"/>
      <c r="G26" s="149">
        <v>1590.02</v>
      </c>
      <c r="H26" s="151">
        <v>0</v>
      </c>
      <c r="I26" s="149">
        <f>'Box Canon'!U20+'Box Canon'!U21</f>
        <v>444.91</v>
      </c>
      <c r="J26" s="147"/>
      <c r="K26" s="147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44701</v>
      </c>
      <c r="B27" s="232" t="str">
        <f t="shared" si="0"/>
        <v>Fri</v>
      </c>
      <c r="C27" s="150">
        <v>695.56</v>
      </c>
      <c r="D27" s="58">
        <f>'Box Canon'!V18+'Box Canon'!V19</f>
        <v>473.51</v>
      </c>
      <c r="E27" s="21"/>
      <c r="F27" s="21"/>
      <c r="G27" s="149">
        <v>3312</v>
      </c>
      <c r="H27" s="151">
        <v>0</v>
      </c>
      <c r="I27" s="149">
        <f>'Box Canon'!V20+'Box Canon'!V21</f>
        <v>449.51</v>
      </c>
      <c r="J27" s="147"/>
      <c r="K27" s="147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44702</v>
      </c>
      <c r="B28" s="232" t="str">
        <f t="shared" si="0"/>
        <v>Sat</v>
      </c>
      <c r="C28" s="150">
        <v>708.55</v>
      </c>
      <c r="D28" s="58">
        <f>'Box Canon'!W18+'Box Canon'!W19</f>
        <v>957.84</v>
      </c>
      <c r="E28" s="21"/>
      <c r="F28" s="21"/>
      <c r="G28" s="149">
        <v>7004.33</v>
      </c>
      <c r="H28" s="151">
        <v>0</v>
      </c>
      <c r="I28" s="149">
        <f>'Box Canon'!W20+'Box Canon'!W21</f>
        <v>626.01</v>
      </c>
      <c r="J28" s="147"/>
      <c r="K28" s="147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44703</v>
      </c>
      <c r="B29" s="232" t="str">
        <f t="shared" si="0"/>
        <v>Sun</v>
      </c>
      <c r="C29" s="150">
        <v>1055.25</v>
      </c>
      <c r="D29" s="58">
        <f>'Box Canon'!X18+'Box Canon'!X19</f>
        <v>860.78</v>
      </c>
      <c r="E29" s="21"/>
      <c r="F29" s="21"/>
      <c r="G29" s="149">
        <v>5662.45</v>
      </c>
      <c r="H29" s="151">
        <v>0</v>
      </c>
      <c r="I29" s="149">
        <f>'Box Canon'!X20+'Box Canon'!X21</f>
        <v>927.58</v>
      </c>
      <c r="J29" s="147"/>
      <c r="K29" s="147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44704</v>
      </c>
      <c r="B30" s="232" t="str">
        <f t="shared" si="0"/>
        <v>Mon</v>
      </c>
      <c r="C30" s="150">
        <v>706.3</v>
      </c>
      <c r="D30" s="58">
        <f>'Box Canon'!Y18+'Box Canon'!Y19</f>
        <v>474.23</v>
      </c>
      <c r="E30" s="21"/>
      <c r="F30" s="21"/>
      <c r="G30" s="149">
        <v>2618.13</v>
      </c>
      <c r="H30" s="151">
        <v>0</v>
      </c>
      <c r="I30" s="149">
        <f>'Box Canon'!Y20+'Box Canon'!Y21</f>
        <v>559.11</v>
      </c>
      <c r="J30" s="147"/>
      <c r="K30" s="147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44705</v>
      </c>
      <c r="B31" s="232" t="str">
        <f t="shared" si="0"/>
        <v>Tue</v>
      </c>
      <c r="C31" s="150">
        <v>844.18</v>
      </c>
      <c r="D31" s="58">
        <f>'Box Canon'!Z18+'Box Canon'!Z19</f>
        <v>602.87</v>
      </c>
      <c r="E31" s="21"/>
      <c r="F31" s="21"/>
      <c r="G31" s="149">
        <v>2383.84</v>
      </c>
      <c r="H31" s="151">
        <v>0</v>
      </c>
      <c r="I31" s="149">
        <f>'Box Canon'!Z20+'Box Canon'!Z21</f>
        <v>571.49</v>
      </c>
      <c r="J31" s="147"/>
      <c r="K31" s="147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44706</v>
      </c>
      <c r="B32" s="232" t="str">
        <f t="shared" si="0"/>
        <v>Wed</v>
      </c>
      <c r="C32" s="150">
        <v>1366.03</v>
      </c>
      <c r="D32" s="58">
        <f>'Box Canon'!AA18+'Box Canon'!AA19</f>
        <v>718.01</v>
      </c>
      <c r="E32" s="21"/>
      <c r="F32" s="21"/>
      <c r="G32" s="149">
        <v>4468.97</v>
      </c>
      <c r="H32" s="151">
        <v>0</v>
      </c>
      <c r="I32" s="149">
        <f>'Box Canon'!AA20+'Box Canon'!AA21</f>
        <v>700.33</v>
      </c>
      <c r="J32" s="147"/>
      <c r="K32" s="147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44707</v>
      </c>
      <c r="B33" s="232" t="str">
        <f t="shared" si="0"/>
        <v>Thu</v>
      </c>
      <c r="C33" s="150">
        <v>831.07</v>
      </c>
      <c r="D33" s="58">
        <f>'Box Canon'!AB18+'Box Canon'!AB19</f>
        <v>657.69</v>
      </c>
      <c r="E33" s="21"/>
      <c r="F33" s="21"/>
      <c r="G33" s="149">
        <v>3178.15</v>
      </c>
      <c r="H33" s="151">
        <v>0</v>
      </c>
      <c r="I33" s="149">
        <f>'Box Canon'!AB20+'Box Canon'!AB21</f>
        <v>608.33000000000004</v>
      </c>
      <c r="J33" s="147"/>
      <c r="K33" s="147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44708</v>
      </c>
      <c r="B34" s="232" t="str">
        <f t="shared" si="0"/>
        <v>Fri</v>
      </c>
      <c r="C34" s="150">
        <v>788.94</v>
      </c>
      <c r="D34" s="58">
        <f>'Box Canon'!AC18+'Box Canon'!AC19</f>
        <v>850.08</v>
      </c>
      <c r="E34" s="21"/>
      <c r="F34" s="21"/>
      <c r="G34" s="149">
        <v>4773.05</v>
      </c>
      <c r="H34" s="151">
        <v>0</v>
      </c>
      <c r="I34" s="149">
        <f>'Box Canon'!AC20+'Box Canon'!AC21</f>
        <v>662.44</v>
      </c>
      <c r="J34" s="147"/>
      <c r="K34" s="147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44709</v>
      </c>
      <c r="B35" s="232" t="str">
        <f t="shared" si="0"/>
        <v>Sat</v>
      </c>
      <c r="C35" s="150">
        <v>2309.08</v>
      </c>
      <c r="D35" s="58">
        <f>'Box Canon'!AD18+'Box Canon'!AD19</f>
        <v>1063.99</v>
      </c>
      <c r="E35" s="21"/>
      <c r="F35" s="21"/>
      <c r="G35" s="149">
        <v>12307.96</v>
      </c>
      <c r="H35" s="151">
        <v>0</v>
      </c>
      <c r="I35" s="149">
        <f>'Box Canon'!AD20+'Box Canon'!AD21</f>
        <v>2161.1999999999998</v>
      </c>
      <c r="J35" s="147"/>
      <c r="K35" s="147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44710</v>
      </c>
      <c r="B36" s="232" t="str">
        <f t="shared" si="0"/>
        <v>Sun</v>
      </c>
      <c r="C36" s="150">
        <v>2504.8200000000002</v>
      </c>
      <c r="D36" s="58">
        <f>'Box Canon'!AE18+'Box Canon'!AE19</f>
        <v>2152.13</v>
      </c>
      <c r="E36" s="42"/>
      <c r="F36" s="21"/>
      <c r="G36" s="149">
        <v>14853.1</v>
      </c>
      <c r="H36" s="151">
        <v>0</v>
      </c>
      <c r="I36" s="149">
        <f>'Box Canon'!AE20+'Box Canon'!AE21</f>
        <v>2122.6400000000003</v>
      </c>
      <c r="J36" s="147"/>
      <c r="K36" s="147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44711</v>
      </c>
      <c r="B37" s="232" t="str">
        <f t="shared" si="0"/>
        <v>Mon</v>
      </c>
      <c r="C37" s="150">
        <v>2348.8200000000002</v>
      </c>
      <c r="D37" s="58">
        <f>'Box Canon'!AF18+'Box Canon'!AF19</f>
        <v>1204.9100000000001</v>
      </c>
      <c r="E37" s="21"/>
      <c r="F37" s="21"/>
      <c r="G37" s="149">
        <v>7556.68</v>
      </c>
      <c r="H37" s="151">
        <v>0</v>
      </c>
      <c r="I37" s="149">
        <f>'Box Canon'!AF20+'Box Canon'!AF21</f>
        <v>1644.27</v>
      </c>
      <c r="J37" s="147"/>
      <c r="K37" s="147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44712</v>
      </c>
      <c r="B38" s="232" t="str">
        <f t="shared" si="0"/>
        <v>Tue</v>
      </c>
      <c r="C38" s="150">
        <v>1088.3900000000001</v>
      </c>
      <c r="D38" s="58">
        <f>'Box Canon'!AG18+'Box Canon'!AG19</f>
        <v>953.27</v>
      </c>
      <c r="E38" s="21"/>
      <c r="F38" s="21"/>
      <c r="G38" s="149">
        <v>4986.83</v>
      </c>
      <c r="H38" s="151">
        <v>0</v>
      </c>
      <c r="I38" s="149">
        <f>'Box Canon'!AG20+'Box Canon'!AG21</f>
        <v>1035.44</v>
      </c>
      <c r="J38" s="147"/>
      <c r="K38" s="147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69">
        <f>SUM(C8:C39)</f>
        <v>28270.169999999991</v>
      </c>
      <c r="D40" s="169">
        <f t="shared" ref="D40:M40" si="2">SUM(D8:D39)</f>
        <v>19320.400000000001</v>
      </c>
      <c r="E40" s="170">
        <f t="shared" si="2"/>
        <v>0</v>
      </c>
      <c r="F40" s="170">
        <f t="shared" si="2"/>
        <v>0</v>
      </c>
      <c r="G40" s="169">
        <f>SUM(G8:G38)</f>
        <v>115127.64999999998</v>
      </c>
      <c r="H40" s="169">
        <f>SUM(H8:H38)</f>
        <v>28</v>
      </c>
      <c r="I40" s="169">
        <f>SUM(I8:I38)</f>
        <v>19916.21</v>
      </c>
      <c r="J40" s="169">
        <f t="shared" si="2"/>
        <v>0</v>
      </c>
      <c r="K40" s="169">
        <f t="shared" si="2"/>
        <v>0</v>
      </c>
      <c r="L40" s="170">
        <f t="shared" si="2"/>
        <v>0</v>
      </c>
      <c r="M40" s="170">
        <f t="shared" si="2"/>
        <v>0</v>
      </c>
      <c r="N40" s="171"/>
      <c r="O40" s="172">
        <f>SUM(O8:O39)</f>
        <v>0</v>
      </c>
      <c r="P40" s="172">
        <f>SUM(P8:P39)</f>
        <v>0</v>
      </c>
      <c r="Q40" s="172">
        <f>SUM(Q8:Q39)</f>
        <v>0</v>
      </c>
      <c r="R40" s="172">
        <f>SUM(R8:R39)</f>
        <v>0</v>
      </c>
      <c r="S40" s="173"/>
      <c r="T40" s="174">
        <f>SUM(C40:R40)-M40-P40+T7</f>
        <v>182662.42999999996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5">
        <f>C40+D40+J40+K40+M40</f>
        <v>47590.569999999992</v>
      </c>
      <c r="N42" s="171"/>
      <c r="O42" s="176">
        <f>+O40-P40</f>
        <v>0</v>
      </c>
      <c r="P42" s="175"/>
      <c r="Q42" s="176">
        <f>+P40+Q40</f>
        <v>0</v>
      </c>
      <c r="R42" s="175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tabSelected="1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D63" sqref="D63"/>
    </sheetView>
  </sheetViews>
  <sheetFormatPr defaultColWidth="9.140625" defaultRowHeight="15.75" x14ac:dyDescent="0.25"/>
  <cols>
    <col min="1" max="1" width="10.42578125" style="59" bestFit="1" customWidth="1"/>
    <col min="2" max="2" width="33.85546875" style="60" bestFit="1" customWidth="1"/>
    <col min="3" max="29" width="10" style="60" customWidth="1"/>
    <col min="30" max="30" width="10.5703125" style="60" bestFit="1" customWidth="1"/>
    <col min="31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68" t="s">
        <v>124</v>
      </c>
      <c r="B1" s="377" t="str">
        <f>'Cash Flow'!C1</f>
        <v>May</v>
      </c>
      <c r="C1" s="228" t="str">
        <f t="array" ref="C1:AG1">TRANSPOSE('Cash Flow'!B8:B38)</f>
        <v>Sun</v>
      </c>
      <c r="D1" s="228" t="str">
        <v>Mon</v>
      </c>
      <c r="E1" s="228" t="str">
        <v>Tue</v>
      </c>
      <c r="F1" s="228" t="str">
        <v>Wed</v>
      </c>
      <c r="G1" s="228" t="str">
        <v>Thu</v>
      </c>
      <c r="H1" s="228" t="str">
        <v>Fri</v>
      </c>
      <c r="I1" s="228" t="str">
        <v>Sat</v>
      </c>
      <c r="J1" s="228" t="str">
        <v>Sun</v>
      </c>
      <c r="K1" s="228" t="str">
        <v>Mon</v>
      </c>
      <c r="L1" s="228" t="str">
        <v>Tue</v>
      </c>
      <c r="M1" s="228" t="str">
        <v>Wed</v>
      </c>
      <c r="N1" s="228" t="str">
        <v>Thu</v>
      </c>
      <c r="O1" s="228" t="str">
        <v>Fri</v>
      </c>
      <c r="P1" s="228" t="str">
        <v>Sat</v>
      </c>
      <c r="Q1" s="228" t="str">
        <v>Sun</v>
      </c>
      <c r="R1" s="228" t="str">
        <v>Mon</v>
      </c>
      <c r="S1" s="228" t="str">
        <v>Tue</v>
      </c>
      <c r="T1" s="228" t="str">
        <v>Wed</v>
      </c>
      <c r="U1" s="228" t="str">
        <v>Thu</v>
      </c>
      <c r="V1" s="228" t="str">
        <v>Fri</v>
      </c>
      <c r="W1" s="228" t="str">
        <v>Sat</v>
      </c>
      <c r="X1" s="228" t="str">
        <v>Sun</v>
      </c>
      <c r="Y1" s="228" t="str">
        <v>Mon</v>
      </c>
      <c r="Z1" s="228" t="str">
        <v>Tue</v>
      </c>
      <c r="AA1" s="228" t="str">
        <v>Wed</v>
      </c>
      <c r="AB1" s="228" t="str">
        <v>Thu</v>
      </c>
      <c r="AC1" s="228" t="str">
        <v>Fri</v>
      </c>
      <c r="AD1" s="228" t="str">
        <v>Sat</v>
      </c>
      <c r="AE1" s="228" t="str">
        <v>Sun</v>
      </c>
      <c r="AF1" s="228" t="str">
        <v>Mon</v>
      </c>
      <c r="AG1" s="228" t="str">
        <v>Tue</v>
      </c>
    </row>
    <row r="2" spans="1:39" s="60" customFormat="1" ht="16.5" thickBot="1" x14ac:dyDescent="0.3">
      <c r="A2" s="63" t="s">
        <v>67</v>
      </c>
      <c r="B2" s="64" t="s">
        <v>133</v>
      </c>
      <c r="C2" s="106">
        <f>'Cash Flow'!A8</f>
        <v>44682</v>
      </c>
      <c r="D2" s="106">
        <f>C2+1</f>
        <v>44683</v>
      </c>
      <c r="E2" s="106">
        <f>D2+1</f>
        <v>44684</v>
      </c>
      <c r="F2" s="106">
        <f t="shared" ref="F2:AG2" si="0">E2+1</f>
        <v>44685</v>
      </c>
      <c r="G2" s="106">
        <f t="shared" si="0"/>
        <v>44686</v>
      </c>
      <c r="H2" s="106">
        <f t="shared" si="0"/>
        <v>44687</v>
      </c>
      <c r="I2" s="106">
        <f t="shared" si="0"/>
        <v>44688</v>
      </c>
      <c r="J2" s="106">
        <f t="shared" si="0"/>
        <v>44689</v>
      </c>
      <c r="K2" s="106">
        <f t="shared" si="0"/>
        <v>44690</v>
      </c>
      <c r="L2" s="106">
        <f t="shared" si="0"/>
        <v>44691</v>
      </c>
      <c r="M2" s="106">
        <f t="shared" si="0"/>
        <v>44692</v>
      </c>
      <c r="N2" s="106">
        <f t="shared" si="0"/>
        <v>44693</v>
      </c>
      <c r="O2" s="106">
        <f t="shared" si="0"/>
        <v>44694</v>
      </c>
      <c r="P2" s="106">
        <f t="shared" si="0"/>
        <v>44695</v>
      </c>
      <c r="Q2" s="106">
        <f t="shared" si="0"/>
        <v>44696</v>
      </c>
      <c r="R2" s="106">
        <f t="shared" si="0"/>
        <v>44697</v>
      </c>
      <c r="S2" s="106">
        <f t="shared" si="0"/>
        <v>44698</v>
      </c>
      <c r="T2" s="106">
        <f t="shared" si="0"/>
        <v>44699</v>
      </c>
      <c r="U2" s="106">
        <f t="shared" si="0"/>
        <v>44700</v>
      </c>
      <c r="V2" s="106">
        <f t="shared" si="0"/>
        <v>44701</v>
      </c>
      <c r="W2" s="106">
        <f t="shared" si="0"/>
        <v>44702</v>
      </c>
      <c r="X2" s="106">
        <f t="shared" si="0"/>
        <v>44703</v>
      </c>
      <c r="Y2" s="106">
        <f t="shared" si="0"/>
        <v>44704</v>
      </c>
      <c r="Z2" s="106">
        <f t="shared" si="0"/>
        <v>44705</v>
      </c>
      <c r="AA2" s="106">
        <f t="shared" si="0"/>
        <v>44706</v>
      </c>
      <c r="AB2" s="106">
        <f t="shared" si="0"/>
        <v>44707</v>
      </c>
      <c r="AC2" s="106">
        <f t="shared" si="0"/>
        <v>44708</v>
      </c>
      <c r="AD2" s="106">
        <f t="shared" si="0"/>
        <v>44709</v>
      </c>
      <c r="AE2" s="106">
        <f t="shared" si="0"/>
        <v>44710</v>
      </c>
      <c r="AF2" s="106">
        <f t="shared" si="0"/>
        <v>44711</v>
      </c>
      <c r="AG2" s="106">
        <f t="shared" si="0"/>
        <v>44712</v>
      </c>
      <c r="AH2" s="65" t="s">
        <v>59</v>
      </c>
      <c r="AI2" s="62"/>
      <c r="AJ2" s="63" t="s">
        <v>67</v>
      </c>
      <c r="AK2" s="64" t="s">
        <v>133</v>
      </c>
    </row>
    <row r="3" spans="1:39" x14ac:dyDescent="0.25">
      <c r="A3" s="66" t="s">
        <v>61</v>
      </c>
      <c r="B3" s="67" t="s">
        <v>62</v>
      </c>
      <c r="C3" s="68">
        <v>19.100000000000001</v>
      </c>
      <c r="D3" s="183">
        <v>8.93</v>
      </c>
      <c r="E3" s="183"/>
      <c r="F3" s="183">
        <v>8.5</v>
      </c>
      <c r="G3" s="183">
        <v>10.48</v>
      </c>
      <c r="H3" s="183">
        <v>20.18</v>
      </c>
      <c r="I3" s="183">
        <v>45.36</v>
      </c>
      <c r="J3" s="183">
        <v>51.23</v>
      </c>
      <c r="K3" s="183">
        <v>5.81</v>
      </c>
      <c r="L3" s="183"/>
      <c r="M3" s="183">
        <v>14.63</v>
      </c>
      <c r="N3" s="183">
        <v>7.73</v>
      </c>
      <c r="O3" s="183">
        <v>36.369999999999997</v>
      </c>
      <c r="P3" s="183">
        <v>53.38</v>
      </c>
      <c r="Q3" s="183">
        <v>47.21</v>
      </c>
      <c r="R3" s="183">
        <v>10.119999999999999</v>
      </c>
      <c r="S3" s="183"/>
      <c r="T3" s="183">
        <v>15.76</v>
      </c>
      <c r="U3" s="183">
        <v>13.62</v>
      </c>
      <c r="V3" s="183">
        <v>20.7</v>
      </c>
      <c r="W3" s="183">
        <v>37.85</v>
      </c>
      <c r="X3" s="183">
        <v>51.12</v>
      </c>
      <c r="Y3" s="183">
        <v>16.22</v>
      </c>
      <c r="Z3" s="183">
        <v>21.29</v>
      </c>
      <c r="AA3" s="183">
        <v>38.75</v>
      </c>
      <c r="AB3" s="183">
        <v>18.68</v>
      </c>
      <c r="AC3" s="183">
        <v>48.14</v>
      </c>
      <c r="AD3" s="183">
        <v>82.23</v>
      </c>
      <c r="AE3" s="183">
        <v>94.08</v>
      </c>
      <c r="AF3" s="183">
        <v>47.67</v>
      </c>
      <c r="AG3" s="183">
        <v>28.95</v>
      </c>
      <c r="AH3" s="108">
        <f>SUM(C3:AG3)</f>
        <v>874.08999999999992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31</v>
      </c>
      <c r="C4" s="71">
        <v>3227.2</v>
      </c>
      <c r="D4" s="72">
        <v>1013.2</v>
      </c>
      <c r="E4" s="71"/>
      <c r="F4" s="71">
        <v>928</v>
      </c>
      <c r="G4" s="71">
        <v>939.2</v>
      </c>
      <c r="H4" s="71">
        <v>1675.2</v>
      </c>
      <c r="I4" s="71">
        <v>5612.4</v>
      </c>
      <c r="J4" s="71">
        <v>3467.6</v>
      </c>
      <c r="K4" s="71">
        <v>517</v>
      </c>
      <c r="L4" s="71"/>
      <c r="M4" s="71">
        <v>1626</v>
      </c>
      <c r="N4" s="71">
        <v>1032.8</v>
      </c>
      <c r="O4" s="71">
        <f>2506.8+432</f>
        <v>2938.8</v>
      </c>
      <c r="P4" s="71">
        <v>5480.4</v>
      </c>
      <c r="Q4" s="71">
        <v>5078.3999999999996</v>
      </c>
      <c r="R4" s="71">
        <v>1739.2</v>
      </c>
      <c r="S4" s="71"/>
      <c r="T4" s="71">
        <v>2076.4</v>
      </c>
      <c r="U4" s="71">
        <v>1958.8</v>
      </c>
      <c r="V4" s="71">
        <f>3088.4+64.8</f>
        <v>3153.2000000000003</v>
      </c>
      <c r="W4" s="71">
        <v>4733.2</v>
      </c>
      <c r="X4" s="71">
        <v>4517.2</v>
      </c>
      <c r="Y4" s="71">
        <v>2264.8000000000002</v>
      </c>
      <c r="Z4" s="71">
        <v>2520</v>
      </c>
      <c r="AA4" s="71">
        <f>3020.8+370.8</f>
        <v>3391.6000000000004</v>
      </c>
      <c r="AB4" s="71">
        <v>3108.4</v>
      </c>
      <c r="AC4" s="71">
        <v>4365.6000000000004</v>
      </c>
      <c r="AD4" s="71">
        <v>11526.4</v>
      </c>
      <c r="AE4" s="71">
        <v>12779.6</v>
      </c>
      <c r="AF4" s="71">
        <v>7064</v>
      </c>
      <c r="AG4" s="71">
        <v>4978.3999999999996</v>
      </c>
      <c r="AH4" s="108">
        <f t="shared" ref="AH4:AH28" si="1">SUM(C4:AG4)</f>
        <v>103712.99999999999</v>
      </c>
      <c r="AJ4" s="69" t="s">
        <v>30</v>
      </c>
      <c r="AK4" s="70" t="s">
        <v>31</v>
      </c>
      <c r="AL4" s="210"/>
      <c r="AM4" s="210"/>
    </row>
    <row r="5" spans="1:39" x14ac:dyDescent="0.25">
      <c r="A5" s="69"/>
      <c r="B5" s="378" t="s">
        <v>178</v>
      </c>
      <c r="C5" s="71"/>
      <c r="D5" s="72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108">
        <f>SUM(C5:AG5)</f>
        <v>0</v>
      </c>
      <c r="AJ5" s="69"/>
      <c r="AK5" s="70"/>
      <c r="AL5" s="210"/>
      <c r="AM5" s="210"/>
    </row>
    <row r="6" spans="1:39" x14ac:dyDescent="0.25">
      <c r="A6" s="69" t="s">
        <v>181</v>
      </c>
      <c r="B6" s="70" t="s">
        <v>205</v>
      </c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>
        <v>487.8</v>
      </c>
      <c r="AE6" s="72">
        <v>378.6</v>
      </c>
      <c r="AF6" s="72">
        <v>293.39999999999998</v>
      </c>
      <c r="AG6" s="72">
        <v>261.60000000000002</v>
      </c>
      <c r="AH6" s="108">
        <f t="shared" si="1"/>
        <v>1421.4</v>
      </c>
      <c r="AJ6" s="69" t="s">
        <v>181</v>
      </c>
      <c r="AK6" s="70" t="s">
        <v>63</v>
      </c>
      <c r="AM6" s="210"/>
    </row>
    <row r="7" spans="1:39" x14ac:dyDescent="0.25">
      <c r="A7" s="369" t="s">
        <v>155</v>
      </c>
      <c r="B7" s="370" t="s">
        <v>156</v>
      </c>
      <c r="C7" s="371"/>
      <c r="D7" s="372"/>
      <c r="E7" s="372"/>
      <c r="F7" s="372"/>
      <c r="G7" s="372"/>
      <c r="H7" s="372"/>
      <c r="I7" s="372"/>
      <c r="J7" s="372"/>
      <c r="K7" s="372"/>
      <c r="L7" s="372"/>
      <c r="M7" s="372"/>
      <c r="N7" s="372"/>
      <c r="O7" s="372"/>
      <c r="P7" s="372"/>
      <c r="Q7" s="372"/>
      <c r="R7" s="372"/>
      <c r="S7" s="372"/>
      <c r="T7" s="372"/>
      <c r="U7" s="372"/>
      <c r="V7" s="372"/>
      <c r="W7" s="372"/>
      <c r="X7" s="372"/>
      <c r="Y7" s="372"/>
      <c r="Z7" s="372"/>
      <c r="AA7" s="372"/>
      <c r="AB7" s="372"/>
      <c r="AC7" s="372"/>
      <c r="AD7" s="372"/>
      <c r="AE7" s="372"/>
      <c r="AF7" s="372"/>
      <c r="AG7" s="372"/>
      <c r="AH7" s="373">
        <f>SUM(C7:AG7)</f>
        <v>0</v>
      </c>
      <c r="AI7" s="374"/>
      <c r="AJ7" s="369" t="s">
        <v>155</v>
      </c>
      <c r="AK7" s="370" t="s">
        <v>156</v>
      </c>
      <c r="AM7" s="210"/>
    </row>
    <row r="8" spans="1:39" x14ac:dyDescent="0.25">
      <c r="A8" s="369" t="s">
        <v>157</v>
      </c>
      <c r="B8" s="370" t="s">
        <v>200</v>
      </c>
      <c r="C8" s="371">
        <f>375+240</f>
        <v>615</v>
      </c>
      <c r="D8" s="372">
        <f>820+120</f>
        <v>940</v>
      </c>
      <c r="E8" s="372">
        <v>145</v>
      </c>
      <c r="F8" s="372">
        <f>224+120</f>
        <v>344</v>
      </c>
      <c r="G8" s="372">
        <f>352.5+240</f>
        <v>592.5</v>
      </c>
      <c r="H8" s="372">
        <f>735+120</f>
        <v>855</v>
      </c>
      <c r="I8" s="372">
        <f>52.5+240</f>
        <v>292.5</v>
      </c>
      <c r="J8" s="372">
        <f>75+240</f>
        <v>315</v>
      </c>
      <c r="K8" s="372">
        <v>120</v>
      </c>
      <c r="L8" s="372"/>
      <c r="M8" s="372">
        <f>670+120</f>
        <v>790</v>
      </c>
      <c r="N8" s="372">
        <f>440+240</f>
        <v>680</v>
      </c>
      <c r="O8" s="372">
        <f>165+120</f>
        <v>285</v>
      </c>
      <c r="P8" s="372">
        <f>82.5+704</f>
        <v>786.5</v>
      </c>
      <c r="Q8" s="372">
        <f>472.5+808</f>
        <v>1280.5</v>
      </c>
      <c r="R8" s="372">
        <f>165+464</f>
        <v>629</v>
      </c>
      <c r="S8" s="372"/>
      <c r="T8" s="372">
        <v>240</v>
      </c>
      <c r="U8" s="372">
        <v>120</v>
      </c>
      <c r="V8" s="372">
        <f>160+240+75</f>
        <v>475</v>
      </c>
      <c r="W8" s="372">
        <f>1557.5+808</f>
        <v>2365.5</v>
      </c>
      <c r="X8" s="372">
        <f>435+1032</f>
        <v>1467</v>
      </c>
      <c r="Y8" s="372">
        <v>824</v>
      </c>
      <c r="Z8" s="372">
        <f>82.5+224</f>
        <v>306.5</v>
      </c>
      <c r="AA8" s="372">
        <f>685+704</f>
        <v>1389</v>
      </c>
      <c r="AB8" s="372">
        <v>600</v>
      </c>
      <c r="AC8" s="372">
        <f>165+480</f>
        <v>645</v>
      </c>
      <c r="AD8" s="372">
        <f>215+1320</f>
        <v>1535</v>
      </c>
      <c r="AE8" s="372">
        <f>322.5+2800</f>
        <v>3122.5</v>
      </c>
      <c r="AF8" s="372">
        <f>110+1440+30</f>
        <v>1580</v>
      </c>
      <c r="AG8" s="372">
        <v>480</v>
      </c>
      <c r="AH8" s="373">
        <f>SUM(C8:AG8)</f>
        <v>23819.5</v>
      </c>
      <c r="AI8" s="374"/>
      <c r="AJ8" s="369" t="s">
        <v>157</v>
      </c>
      <c r="AK8" s="370" t="s">
        <v>200</v>
      </c>
      <c r="AM8" s="210"/>
    </row>
    <row r="9" spans="1:39" x14ac:dyDescent="0.25">
      <c r="A9" s="369" t="s">
        <v>162</v>
      </c>
      <c r="B9" s="370" t="s">
        <v>163</v>
      </c>
      <c r="C9" s="371"/>
      <c r="D9" s="372"/>
      <c r="E9" s="372"/>
      <c r="F9" s="372"/>
      <c r="G9" s="372"/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372"/>
      <c r="X9" s="372"/>
      <c r="Y9" s="372"/>
      <c r="Z9" s="372"/>
      <c r="AA9" s="372"/>
      <c r="AB9" s="372"/>
      <c r="AC9" s="372"/>
      <c r="AD9" s="372"/>
      <c r="AE9" s="372"/>
      <c r="AF9" s="372"/>
      <c r="AG9" s="372"/>
      <c r="AH9" s="373">
        <f t="shared" ref="AH9:AH13" si="2">SUM(C9:AG9)</f>
        <v>0</v>
      </c>
      <c r="AI9" s="374"/>
      <c r="AJ9" s="369" t="s">
        <v>162</v>
      </c>
      <c r="AK9" s="370" t="s">
        <v>163</v>
      </c>
      <c r="AM9" s="210"/>
    </row>
    <row r="10" spans="1:39" x14ac:dyDescent="0.25">
      <c r="A10" s="369" t="s">
        <v>164</v>
      </c>
      <c r="B10" s="370" t="s">
        <v>165</v>
      </c>
      <c r="C10" s="371"/>
      <c r="D10" s="372"/>
      <c r="E10" s="372"/>
      <c r="F10" s="372"/>
      <c r="G10" s="372"/>
      <c r="H10" s="372"/>
      <c r="I10" s="372"/>
      <c r="J10" s="372"/>
      <c r="K10" s="372"/>
      <c r="L10" s="372"/>
      <c r="M10" s="372"/>
      <c r="N10" s="372"/>
      <c r="O10" s="372">
        <v>250</v>
      </c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3">
        <f t="shared" si="2"/>
        <v>250</v>
      </c>
      <c r="AI10" s="374"/>
      <c r="AJ10" s="369" t="s">
        <v>164</v>
      </c>
      <c r="AK10" s="370" t="s">
        <v>165</v>
      </c>
      <c r="AM10" s="210"/>
    </row>
    <row r="11" spans="1:39" x14ac:dyDescent="0.25">
      <c r="A11" s="369" t="s">
        <v>158</v>
      </c>
      <c r="B11" s="370" t="s">
        <v>159</v>
      </c>
      <c r="C11" s="371"/>
      <c r="D11" s="372"/>
      <c r="E11" s="372"/>
      <c r="F11" s="372"/>
      <c r="G11" s="372"/>
      <c r="H11" s="372"/>
      <c r="I11" s="372"/>
      <c r="J11" s="372"/>
      <c r="K11" s="372"/>
      <c r="L11" s="372"/>
      <c r="M11" s="372"/>
      <c r="N11" s="372"/>
      <c r="O11" s="372"/>
      <c r="P11" s="372"/>
      <c r="Q11" s="372"/>
      <c r="R11" s="372"/>
      <c r="S11" s="372"/>
      <c r="T11" s="372"/>
      <c r="U11" s="372"/>
      <c r="V11" s="372"/>
      <c r="W11" s="372"/>
      <c r="X11" s="372"/>
      <c r="Y11" s="372"/>
      <c r="Z11" s="372"/>
      <c r="AA11" s="372"/>
      <c r="AB11" s="372"/>
      <c r="AC11" s="372"/>
      <c r="AD11" s="372"/>
      <c r="AE11" s="372"/>
      <c r="AF11" s="372"/>
      <c r="AG11" s="372"/>
      <c r="AH11" s="373">
        <f t="shared" si="2"/>
        <v>0</v>
      </c>
      <c r="AI11" s="374"/>
      <c r="AJ11" s="369" t="s">
        <v>158</v>
      </c>
      <c r="AK11" s="370" t="s">
        <v>159</v>
      </c>
      <c r="AM11" s="210"/>
    </row>
    <row r="12" spans="1:39" x14ac:dyDescent="0.25">
      <c r="A12" s="369" t="s">
        <v>169</v>
      </c>
      <c r="B12" s="370" t="s">
        <v>170</v>
      </c>
      <c r="C12" s="371"/>
      <c r="D12" s="372"/>
      <c r="E12" s="372"/>
      <c r="F12" s="372"/>
      <c r="G12" s="372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  <c r="AE12" s="372"/>
      <c r="AF12" s="372"/>
      <c r="AG12" s="372"/>
      <c r="AH12" s="373">
        <f t="shared" si="2"/>
        <v>0</v>
      </c>
      <c r="AI12" s="374"/>
      <c r="AJ12" s="369" t="s">
        <v>169</v>
      </c>
      <c r="AK12" s="370" t="s">
        <v>170</v>
      </c>
      <c r="AM12" s="210"/>
    </row>
    <row r="13" spans="1:39" x14ac:dyDescent="0.25">
      <c r="A13" s="369" t="s">
        <v>171</v>
      </c>
      <c r="B13" s="370" t="s">
        <v>172</v>
      </c>
      <c r="C13" s="371"/>
      <c r="D13" s="372"/>
      <c r="E13" s="372"/>
      <c r="F13" s="372"/>
      <c r="G13" s="372"/>
      <c r="H13" s="372"/>
      <c r="I13" s="372"/>
      <c r="J13" s="372"/>
      <c r="K13" s="372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2"/>
      <c r="AA13" s="372"/>
      <c r="AB13" s="372"/>
      <c r="AC13" s="372"/>
      <c r="AD13" s="372"/>
      <c r="AE13" s="372"/>
      <c r="AF13" s="372"/>
      <c r="AG13" s="372"/>
      <c r="AH13" s="373">
        <f t="shared" si="2"/>
        <v>0</v>
      </c>
      <c r="AI13" s="374"/>
      <c r="AJ13" s="369" t="s">
        <v>171</v>
      </c>
      <c r="AK13" s="370" t="s">
        <v>172</v>
      </c>
      <c r="AM13" s="210"/>
    </row>
    <row r="14" spans="1:39" x14ac:dyDescent="0.25">
      <c r="A14" s="69" t="s">
        <v>34</v>
      </c>
      <c r="B14" s="70" t="s">
        <v>35</v>
      </c>
      <c r="C14" s="71"/>
      <c r="D14" s="72">
        <f>42+2</f>
        <v>44</v>
      </c>
      <c r="E14" s="72"/>
      <c r="F14" s="72">
        <v>4</v>
      </c>
      <c r="G14" s="72">
        <f>8+2</f>
        <v>10</v>
      </c>
      <c r="H14" s="72">
        <v>19</v>
      </c>
      <c r="I14" s="72"/>
      <c r="J14" s="72">
        <v>4</v>
      </c>
      <c r="K14" s="72">
        <v>44</v>
      </c>
      <c r="L14" s="72"/>
      <c r="M14" s="72">
        <v>8</v>
      </c>
      <c r="N14" s="72">
        <v>20</v>
      </c>
      <c r="O14" s="72">
        <v>32</v>
      </c>
      <c r="P14" s="72"/>
      <c r="Q14" s="72">
        <v>20</v>
      </c>
      <c r="R14" s="72">
        <v>4</v>
      </c>
      <c r="S14" s="72"/>
      <c r="T14" s="72">
        <v>4</v>
      </c>
      <c r="U14" s="72">
        <v>12</v>
      </c>
      <c r="V14" s="72"/>
      <c r="W14" s="72">
        <v>8</v>
      </c>
      <c r="X14" s="72">
        <v>16</v>
      </c>
      <c r="Y14" s="72">
        <v>12</v>
      </c>
      <c r="Z14" s="72">
        <v>100</v>
      </c>
      <c r="AA14" s="72">
        <v>4</v>
      </c>
      <c r="AB14" s="72">
        <v>12</v>
      </c>
      <c r="AC14" s="72"/>
      <c r="AD14" s="72">
        <v>12</v>
      </c>
      <c r="AE14" s="72">
        <v>8</v>
      </c>
      <c r="AF14" s="72">
        <v>12</v>
      </c>
      <c r="AG14" s="72">
        <v>8</v>
      </c>
      <c r="AH14" s="108">
        <f t="shared" si="1"/>
        <v>417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v>194.92</v>
      </c>
      <c r="D15" s="72">
        <v>83.63</v>
      </c>
      <c r="E15" s="72"/>
      <c r="F15" s="72">
        <v>83.62</v>
      </c>
      <c r="G15" s="72">
        <v>108.07</v>
      </c>
      <c r="H15" s="72">
        <v>208.6</v>
      </c>
      <c r="I15" s="72">
        <v>470.5</v>
      </c>
      <c r="J15" s="72">
        <v>537.83000000000004</v>
      </c>
      <c r="K15" s="72">
        <v>58.06</v>
      </c>
      <c r="L15" s="72"/>
      <c r="M15" s="72">
        <v>148.79</v>
      </c>
      <c r="N15" s="72">
        <v>74.06</v>
      </c>
      <c r="O15" s="72">
        <v>380.98</v>
      </c>
      <c r="P15" s="72">
        <v>550.39</v>
      </c>
      <c r="Q15" s="72">
        <v>492.03</v>
      </c>
      <c r="R15" s="72">
        <v>106.13</v>
      </c>
      <c r="S15" s="72"/>
      <c r="T15" s="72">
        <v>159.41999999999999</v>
      </c>
      <c r="U15" s="72">
        <v>139.16999999999999</v>
      </c>
      <c r="V15" s="72">
        <v>213.51</v>
      </c>
      <c r="W15" s="72">
        <v>393.3</v>
      </c>
      <c r="X15" s="72">
        <v>531.94000000000005</v>
      </c>
      <c r="Y15" s="72">
        <v>162.41</v>
      </c>
      <c r="Z15" s="72">
        <v>215.08</v>
      </c>
      <c r="AA15" s="72">
        <v>403.65</v>
      </c>
      <c r="AB15" s="72">
        <v>195.14</v>
      </c>
      <c r="AC15" s="72">
        <v>503.25</v>
      </c>
      <c r="AD15" s="72">
        <v>863.61</v>
      </c>
      <c r="AE15" s="72">
        <v>983.67</v>
      </c>
      <c r="AF15" s="72">
        <v>503.43</v>
      </c>
      <c r="AG15" s="72">
        <v>302.27</v>
      </c>
      <c r="AH15" s="108">
        <f t="shared" si="1"/>
        <v>9067.4600000000009</v>
      </c>
      <c r="AJ15" s="69" t="s">
        <v>36</v>
      </c>
      <c r="AK15" s="70" t="s">
        <v>37</v>
      </c>
    </row>
    <row r="16" spans="1:39" x14ac:dyDescent="0.25">
      <c r="A16" s="69" t="s">
        <v>206</v>
      </c>
      <c r="B16" s="70" t="s">
        <v>114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113</v>
      </c>
      <c r="AK16" s="70" t="s">
        <v>114</v>
      </c>
    </row>
    <row r="17" spans="1:39" x14ac:dyDescent="0.25">
      <c r="A17" s="69" t="s">
        <v>78</v>
      </c>
      <c r="B17" s="70" t="s">
        <v>201</v>
      </c>
      <c r="C17" s="71">
        <v>145</v>
      </c>
      <c r="D17" s="72">
        <v>305</v>
      </c>
      <c r="E17" s="72">
        <v>145</v>
      </c>
      <c r="F17" s="72">
        <v>250</v>
      </c>
      <c r="G17" s="72">
        <v>137.5</v>
      </c>
      <c r="H17" s="72">
        <v>165</v>
      </c>
      <c r="I17" s="72">
        <v>52.5</v>
      </c>
      <c r="J17" s="72"/>
      <c r="K17" s="72">
        <v>135</v>
      </c>
      <c r="L17" s="72"/>
      <c r="M17" s="72"/>
      <c r="N17" s="72"/>
      <c r="O17" s="72">
        <v>80</v>
      </c>
      <c r="P17" s="72">
        <v>82.5</v>
      </c>
      <c r="Q17" s="72">
        <v>97.5</v>
      </c>
      <c r="R17" s="72">
        <v>295</v>
      </c>
      <c r="S17" s="72"/>
      <c r="T17" s="72">
        <v>32</v>
      </c>
      <c r="U17" s="72">
        <v>16</v>
      </c>
      <c r="V17" s="72">
        <v>115</v>
      </c>
      <c r="W17" s="72">
        <f>16+157.5</f>
        <v>173.5</v>
      </c>
      <c r="X17" s="72">
        <f>32+110</f>
        <v>142</v>
      </c>
      <c r="Y17" s="72"/>
      <c r="Z17" s="72">
        <f>32+52.5</f>
        <v>84.5</v>
      </c>
      <c r="AA17" s="72">
        <f>640-32</f>
        <v>608</v>
      </c>
      <c r="AB17" s="72">
        <v>75</v>
      </c>
      <c r="AC17" s="72"/>
      <c r="AD17" s="72">
        <v>110</v>
      </c>
      <c r="AE17" s="72">
        <f>16+62.5</f>
        <v>78.5</v>
      </c>
      <c r="AF17" s="72"/>
      <c r="AG17" s="72">
        <v>16</v>
      </c>
      <c r="AH17" s="108">
        <f t="shared" si="1"/>
        <v>3340.5</v>
      </c>
      <c r="AJ17" s="69" t="s">
        <v>78</v>
      </c>
      <c r="AK17" s="70" t="s">
        <v>79</v>
      </c>
      <c r="AL17" s="210"/>
    </row>
    <row r="18" spans="1:39" x14ac:dyDescent="0.25">
      <c r="A18" s="441" t="s">
        <v>202</v>
      </c>
      <c r="B18" s="70" t="s">
        <v>64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441" t="s">
        <v>202</v>
      </c>
      <c r="AK18" s="70" t="s">
        <v>64</v>
      </c>
      <c r="AL18" s="210">
        <f>AH18*0.5</f>
        <v>0</v>
      </c>
    </row>
    <row r="19" spans="1:39" x14ac:dyDescent="0.25">
      <c r="A19" s="69" t="s">
        <v>38</v>
      </c>
      <c r="B19" s="70" t="s">
        <v>39</v>
      </c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108">
        <f t="shared" si="1"/>
        <v>0</v>
      </c>
      <c r="AJ19" s="69" t="s">
        <v>38</v>
      </c>
      <c r="AK19" s="70" t="s">
        <v>39</v>
      </c>
    </row>
    <row r="20" spans="1:39" x14ac:dyDescent="0.25">
      <c r="A20" s="369" t="s">
        <v>166</v>
      </c>
      <c r="B20" s="370" t="s">
        <v>167</v>
      </c>
      <c r="C20" s="371"/>
      <c r="D20" s="372"/>
      <c r="E20" s="372"/>
      <c r="F20" s="372"/>
      <c r="G20" s="372"/>
      <c r="H20" s="372"/>
      <c r="I20" s="372"/>
      <c r="J20" s="372"/>
      <c r="K20" s="372"/>
      <c r="L20" s="372"/>
      <c r="M20" s="372"/>
      <c r="N20" s="372"/>
      <c r="O20" s="372"/>
      <c r="P20" s="372"/>
      <c r="Q20" s="372"/>
      <c r="R20" s="372"/>
      <c r="S20" s="372"/>
      <c r="T20" s="372"/>
      <c r="U20" s="372"/>
      <c r="V20" s="372"/>
      <c r="W20" s="372"/>
      <c r="X20" s="372"/>
      <c r="Y20" s="372"/>
      <c r="Z20" s="372"/>
      <c r="AA20" s="372"/>
      <c r="AB20" s="372"/>
      <c r="AC20" s="372"/>
      <c r="AD20" s="372"/>
      <c r="AE20" s="372"/>
      <c r="AF20" s="372">
        <f>45+360</f>
        <v>405</v>
      </c>
      <c r="AG20" s="372"/>
      <c r="AH20" s="373">
        <f t="shared" si="1"/>
        <v>405</v>
      </c>
      <c r="AI20" s="374"/>
      <c r="AJ20" s="369" t="s">
        <v>166</v>
      </c>
      <c r="AK20" s="370" t="s">
        <v>168</v>
      </c>
    </row>
    <row r="21" spans="1:39" x14ac:dyDescent="0.25">
      <c r="A21" s="69" t="s">
        <v>40</v>
      </c>
      <c r="B21" s="70" t="s">
        <v>41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40</v>
      </c>
      <c r="AK21" s="70" t="s">
        <v>41</v>
      </c>
    </row>
    <row r="22" spans="1:39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112</v>
      </c>
      <c r="B28" s="78" t="s">
        <v>87</v>
      </c>
      <c r="C28" s="79"/>
      <c r="D28" s="80"/>
      <c r="E28" s="80"/>
      <c r="F28" s="80"/>
      <c r="G28" s="80">
        <v>72</v>
      </c>
      <c r="H28" s="80">
        <v>120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>
        <v>36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228</v>
      </c>
      <c r="AJ28" s="81" t="s">
        <v>112</v>
      </c>
      <c r="AK28" s="82" t="s">
        <v>87</v>
      </c>
      <c r="AL28" s="210"/>
    </row>
    <row r="29" spans="1:39" s="60" customFormat="1" ht="13.5" thickBot="1" x14ac:dyDescent="0.25">
      <c r="A29" s="198"/>
      <c r="B29" s="84" t="s">
        <v>65</v>
      </c>
      <c r="C29" s="107">
        <f t="shared" ref="C29:AG29" si="3">SUM(C3:C28)</f>
        <v>4201.2199999999993</v>
      </c>
      <c r="D29" s="107">
        <f t="shared" si="3"/>
        <v>2394.7600000000002</v>
      </c>
      <c r="E29" s="107">
        <f t="shared" si="3"/>
        <v>290</v>
      </c>
      <c r="F29" s="107">
        <f t="shared" si="3"/>
        <v>1618.12</v>
      </c>
      <c r="G29" s="107">
        <f t="shared" si="3"/>
        <v>1869.75</v>
      </c>
      <c r="H29" s="107">
        <f t="shared" si="3"/>
        <v>3062.98</v>
      </c>
      <c r="I29" s="107">
        <f t="shared" si="3"/>
        <v>6473.2599999999993</v>
      </c>
      <c r="J29" s="107">
        <f t="shared" si="3"/>
        <v>4375.66</v>
      </c>
      <c r="K29" s="107">
        <f t="shared" si="3"/>
        <v>879.86999999999989</v>
      </c>
      <c r="L29" s="107">
        <f t="shared" si="3"/>
        <v>0</v>
      </c>
      <c r="M29" s="107">
        <f t="shared" si="3"/>
        <v>2587.42</v>
      </c>
      <c r="N29" s="107">
        <f t="shared" si="3"/>
        <v>1814.59</v>
      </c>
      <c r="O29" s="107">
        <f t="shared" si="3"/>
        <v>4003.15</v>
      </c>
      <c r="P29" s="107">
        <f t="shared" si="3"/>
        <v>6953.17</v>
      </c>
      <c r="Q29" s="107">
        <f t="shared" si="3"/>
        <v>7015.6399999999994</v>
      </c>
      <c r="R29" s="107">
        <f t="shared" si="3"/>
        <v>2783.45</v>
      </c>
      <c r="S29" s="107">
        <f t="shared" si="3"/>
        <v>0</v>
      </c>
      <c r="T29" s="107">
        <f t="shared" si="3"/>
        <v>2527.5800000000004</v>
      </c>
      <c r="U29" s="107">
        <f t="shared" si="3"/>
        <v>2259.59</v>
      </c>
      <c r="V29" s="107">
        <f t="shared" si="3"/>
        <v>4013.41</v>
      </c>
      <c r="W29" s="107">
        <f t="shared" si="3"/>
        <v>7711.35</v>
      </c>
      <c r="X29" s="107">
        <f t="shared" si="3"/>
        <v>6725.26</v>
      </c>
      <c r="Y29" s="107">
        <f t="shared" si="3"/>
        <v>3279.43</v>
      </c>
      <c r="Z29" s="107">
        <f t="shared" si="3"/>
        <v>3247.37</v>
      </c>
      <c r="AA29" s="107">
        <f t="shared" si="3"/>
        <v>5835</v>
      </c>
      <c r="AB29" s="107">
        <f t="shared" si="3"/>
        <v>4009.22</v>
      </c>
      <c r="AC29" s="107">
        <f t="shared" si="3"/>
        <v>5561.9900000000007</v>
      </c>
      <c r="AD29" s="107">
        <f t="shared" si="3"/>
        <v>14617.039999999999</v>
      </c>
      <c r="AE29" s="107">
        <f t="shared" si="3"/>
        <v>17444.95</v>
      </c>
      <c r="AF29" s="107">
        <f t="shared" si="3"/>
        <v>9905.5</v>
      </c>
      <c r="AG29" s="107">
        <f t="shared" si="3"/>
        <v>6075.2199999999993</v>
      </c>
      <c r="AH29" s="109">
        <f>SUM(C3:AG28)</f>
        <v>143535.95000000004</v>
      </c>
      <c r="AI29" s="85"/>
      <c r="AJ29" s="274"/>
      <c r="AK29" s="275" t="s">
        <v>65</v>
      </c>
    </row>
    <row r="30" spans="1:39" s="60" customFormat="1" ht="13.5" thickBot="1" x14ac:dyDescent="0.25">
      <c r="A30" s="199"/>
      <c r="B30" s="91" t="s">
        <v>107</v>
      </c>
      <c r="C30" s="72">
        <v>4201.22</v>
      </c>
      <c r="D30" s="72">
        <v>2394.7600000000002</v>
      </c>
      <c r="E30" s="72">
        <v>290</v>
      </c>
      <c r="F30" s="72">
        <v>1618.12</v>
      </c>
      <c r="G30" s="72">
        <v>1869.75</v>
      </c>
      <c r="H30" s="72">
        <v>3062.98</v>
      </c>
      <c r="I30" s="72">
        <v>6473.26</v>
      </c>
      <c r="J30" s="72">
        <v>4375.66</v>
      </c>
      <c r="K30" s="72">
        <v>879.87</v>
      </c>
      <c r="L30" s="72"/>
      <c r="M30" s="72">
        <v>2587.42</v>
      </c>
      <c r="N30" s="72">
        <v>1814.59</v>
      </c>
      <c r="O30" s="72">
        <v>4003.15</v>
      </c>
      <c r="P30" s="72">
        <v>6953.17</v>
      </c>
      <c r="Q30" s="72">
        <v>7015.64</v>
      </c>
      <c r="R30" s="72">
        <v>2783.45</v>
      </c>
      <c r="S30" s="72"/>
      <c r="T30" s="72">
        <v>2527.58</v>
      </c>
      <c r="U30" s="72">
        <v>2259.59</v>
      </c>
      <c r="V30" s="72">
        <v>4013.41</v>
      </c>
      <c r="W30" s="72">
        <v>7711.35</v>
      </c>
      <c r="X30" s="72">
        <v>6725.26</v>
      </c>
      <c r="Y30" s="72">
        <v>3279.43</v>
      </c>
      <c r="Z30" s="72">
        <v>3247.37</v>
      </c>
      <c r="AA30" s="72">
        <v>5835</v>
      </c>
      <c r="AB30" s="72">
        <v>4009.22</v>
      </c>
      <c r="AC30" s="72">
        <v>5561.99</v>
      </c>
      <c r="AD30" s="72">
        <v>14617.04</v>
      </c>
      <c r="AE30" s="72">
        <v>17444.95</v>
      </c>
      <c r="AF30" s="72">
        <v>9515.5</v>
      </c>
      <c r="AG30" s="72">
        <v>6075.22</v>
      </c>
      <c r="AH30" s="190">
        <f>SUM(C30:AG30)</f>
        <v>143145.94999999998</v>
      </c>
      <c r="AI30" s="85"/>
      <c r="AJ30" s="189"/>
      <c r="AK30" s="189"/>
    </row>
    <row r="31" spans="1:39" s="60" customFormat="1" thickBot="1" x14ac:dyDescent="0.3">
      <c r="A31" s="200"/>
      <c r="B31" s="104" t="s">
        <v>105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390</v>
      </c>
      <c r="AG31" s="133">
        <f t="shared" si="4"/>
        <v>0</v>
      </c>
      <c r="AH31" s="276">
        <f t="shared" si="4"/>
        <v>390.00000000005821</v>
      </c>
      <c r="AI31" s="85"/>
      <c r="AJ31" s="481" t="s">
        <v>132</v>
      </c>
      <c r="AK31" s="482"/>
      <c r="AL31" s="482"/>
      <c r="AM31" s="483"/>
    </row>
    <row r="32" spans="1:39" ht="16.5" thickBot="1" x14ac:dyDescent="0.3">
      <c r="A32" s="194"/>
      <c r="B32" s="195"/>
      <c r="C32" s="196"/>
      <c r="D32" s="195"/>
      <c r="E32" s="195"/>
      <c r="F32" s="195"/>
      <c r="G32" s="195"/>
      <c r="H32" s="277"/>
      <c r="I32" s="195"/>
      <c r="J32" s="195"/>
      <c r="K32" s="195"/>
      <c r="L32" s="195"/>
      <c r="M32" s="195"/>
      <c r="N32" s="195"/>
      <c r="O32" s="195"/>
      <c r="P32" s="195"/>
      <c r="Q32" s="195"/>
      <c r="R32" s="262"/>
      <c r="S32" s="195"/>
      <c r="T32" s="195"/>
      <c r="U32" s="195"/>
      <c r="V32" s="195"/>
      <c r="W32" s="195"/>
      <c r="X32" s="195"/>
      <c r="Y32" s="196"/>
      <c r="Z32" s="195"/>
      <c r="AA32" s="195"/>
      <c r="AB32" s="195"/>
      <c r="AC32" s="195"/>
      <c r="AD32" s="195"/>
      <c r="AE32" s="195"/>
      <c r="AF32" s="195"/>
      <c r="AG32" s="195"/>
      <c r="AH32" s="197"/>
      <c r="AJ32" s="281" t="s">
        <v>67</v>
      </c>
      <c r="AK32" s="282" t="s">
        <v>133</v>
      </c>
      <c r="AL32" s="282" t="s">
        <v>125</v>
      </c>
      <c r="AM32" s="283" t="s">
        <v>126</v>
      </c>
    </row>
    <row r="33" spans="1:40" x14ac:dyDescent="0.25">
      <c r="A33" s="89" t="s">
        <v>60</v>
      </c>
      <c r="B33" s="84" t="s">
        <v>54</v>
      </c>
      <c r="C33" s="392">
        <v>948.48</v>
      </c>
      <c r="D33" s="392">
        <v>784.41</v>
      </c>
      <c r="E33" s="392"/>
      <c r="F33" s="392">
        <v>468.77</v>
      </c>
      <c r="G33" s="392">
        <v>303.56</v>
      </c>
      <c r="H33" s="392">
        <v>815.61</v>
      </c>
      <c r="I33" s="392">
        <v>1413.42</v>
      </c>
      <c r="J33" s="392">
        <v>1132.23</v>
      </c>
      <c r="K33" s="392">
        <v>342.55</v>
      </c>
      <c r="L33" s="392"/>
      <c r="M33" s="392">
        <v>364.92</v>
      </c>
      <c r="N33" s="392">
        <v>342.7</v>
      </c>
      <c r="O33" s="392">
        <v>1768</v>
      </c>
      <c r="P33" s="392">
        <v>1126.28</v>
      </c>
      <c r="Q33" s="392">
        <v>1663.31</v>
      </c>
      <c r="R33" s="392">
        <v>423.2</v>
      </c>
      <c r="S33" s="392"/>
      <c r="T33" s="392">
        <v>463.17</v>
      </c>
      <c r="U33" s="392">
        <v>662.57</v>
      </c>
      <c r="V33" s="392">
        <v>695.56</v>
      </c>
      <c r="W33" s="392">
        <v>708.55</v>
      </c>
      <c r="X33" s="392">
        <v>1055.25</v>
      </c>
      <c r="Y33" s="392">
        <v>706.3</v>
      </c>
      <c r="Z33" s="392">
        <v>844.18</v>
      </c>
      <c r="AA33" s="393">
        <v>1366.03</v>
      </c>
      <c r="AB33" s="393">
        <v>831.07</v>
      </c>
      <c r="AC33" s="393">
        <v>788.94</v>
      </c>
      <c r="AD33" s="393">
        <v>2309.08</v>
      </c>
      <c r="AE33" s="393">
        <v>2504.8200000000002</v>
      </c>
      <c r="AF33" s="393">
        <v>2348.8200000000002</v>
      </c>
      <c r="AG33" s="393">
        <v>1088.3900000000001</v>
      </c>
      <c r="AH33" s="110">
        <f>SUM(C33:AG33)</f>
        <v>28270.169999999991</v>
      </c>
      <c r="AJ33" s="137" t="s">
        <v>60</v>
      </c>
      <c r="AK33" s="138" t="s">
        <v>127</v>
      </c>
      <c r="AL33" s="386">
        <f>SUM(C33:Z33)</f>
        <v>17033.019999999997</v>
      </c>
      <c r="AM33" s="387">
        <f>SUM(AA33:AG33)</f>
        <v>11237.15</v>
      </c>
    </row>
    <row r="34" spans="1:40" x14ac:dyDescent="0.25">
      <c r="A34" s="90" t="s">
        <v>60</v>
      </c>
      <c r="B34" s="91" t="s">
        <v>55</v>
      </c>
      <c r="C34" s="389">
        <v>3254</v>
      </c>
      <c r="D34" s="389">
        <f>1610.35+32</f>
        <v>1642.35</v>
      </c>
      <c r="E34" s="389">
        <v>290</v>
      </c>
      <c r="F34" s="389">
        <v>1149.3499999999999</v>
      </c>
      <c r="G34" s="389">
        <v>1566.19</v>
      </c>
      <c r="H34" s="389">
        <v>2247.34</v>
      </c>
      <c r="I34" s="389">
        <v>5000.6899999999996</v>
      </c>
      <c r="J34" s="389">
        <v>3242.16</v>
      </c>
      <c r="K34" s="389">
        <v>537.33000000000004</v>
      </c>
      <c r="L34" s="389"/>
      <c r="M34" s="389">
        <v>2218.0500000000002</v>
      </c>
      <c r="N34" s="389">
        <v>1474.45</v>
      </c>
      <c r="O34" s="389">
        <v>2235.15</v>
      </c>
      <c r="P34" s="389">
        <v>5826.89</v>
      </c>
      <c r="Q34" s="389">
        <v>5309.49</v>
      </c>
      <c r="R34" s="389">
        <v>2360.25</v>
      </c>
      <c r="S34" s="389"/>
      <c r="T34" s="389">
        <v>2078.4499999999998</v>
      </c>
      <c r="U34" s="389">
        <v>1590.02</v>
      </c>
      <c r="V34" s="389">
        <v>3312</v>
      </c>
      <c r="W34" s="389">
        <v>7004.33</v>
      </c>
      <c r="X34" s="389">
        <v>5662.45</v>
      </c>
      <c r="Y34" s="391">
        <v>2618.13</v>
      </c>
      <c r="Z34" s="391">
        <v>2383.84</v>
      </c>
      <c r="AA34" s="391">
        <f>4618.97-150</f>
        <v>4468.97</v>
      </c>
      <c r="AB34" s="391">
        <v>3178.15</v>
      </c>
      <c r="AC34" s="391">
        <v>4773.05</v>
      </c>
      <c r="AD34" s="391">
        <v>12307.96</v>
      </c>
      <c r="AE34" s="391">
        <f>14916.1-18-45</f>
        <v>14853.1</v>
      </c>
      <c r="AF34" s="391">
        <v>7556.68</v>
      </c>
      <c r="AG34" s="391">
        <v>4986.83</v>
      </c>
      <c r="AH34" s="111">
        <f t="shared" ref="AH34:AH38" si="5">SUM(C34:AG34)</f>
        <v>115127.64999999998</v>
      </c>
      <c r="AJ34" s="129" t="s">
        <v>60</v>
      </c>
      <c r="AK34" s="130" t="s">
        <v>212</v>
      </c>
      <c r="AL34" s="289">
        <f>SUM(C34:X34)-AL45</f>
        <v>56249.499999999993</v>
      </c>
      <c r="AM34" s="290">
        <f>SUM(Y34:AG34)-AM45</f>
        <v>55401.75</v>
      </c>
    </row>
    <row r="35" spans="1:40" x14ac:dyDescent="0.25">
      <c r="A35" s="92" t="s">
        <v>60</v>
      </c>
      <c r="B35" s="93" t="s">
        <v>99</v>
      </c>
      <c r="C35" s="380"/>
      <c r="D35" s="380">
        <v>28</v>
      </c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28</v>
      </c>
      <c r="AJ35" s="129" t="s">
        <v>60</v>
      </c>
      <c r="AK35" s="130" t="s">
        <v>128</v>
      </c>
      <c r="AL35" s="289">
        <f>SUM(C35:AE35)</f>
        <v>28</v>
      </c>
      <c r="AM35" s="290">
        <f>SUM(AE35:AG35)</f>
        <v>0</v>
      </c>
    </row>
    <row r="36" spans="1:40" hidden="1" x14ac:dyDescent="0.25">
      <c r="A36" s="92" t="s">
        <v>60</v>
      </c>
      <c r="B36" s="93" t="s">
        <v>100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129</v>
      </c>
      <c r="AL36" s="289"/>
      <c r="AM36" s="388"/>
    </row>
    <row r="37" spans="1:40" ht="16.5" customHeight="1" x14ac:dyDescent="0.25">
      <c r="A37" s="92" t="s">
        <v>68</v>
      </c>
      <c r="B37" s="93" t="s">
        <v>69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>
        <v>4</v>
      </c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4</v>
      </c>
      <c r="AJ37" s="129" t="s">
        <v>68</v>
      </c>
      <c r="AK37" s="130" t="s">
        <v>93</v>
      </c>
      <c r="AL37" s="268">
        <f>AH37</f>
        <v>4</v>
      </c>
      <c r="AM37" s="269"/>
      <c r="AN37" s="264" t="s">
        <v>130</v>
      </c>
    </row>
    <row r="38" spans="1:40" ht="16.5" thickBot="1" x14ac:dyDescent="0.3">
      <c r="A38" s="81" t="s">
        <v>112</v>
      </c>
      <c r="B38" s="94" t="s">
        <v>86</v>
      </c>
      <c r="C38" s="382"/>
      <c r="D38" s="382"/>
      <c r="E38" s="382"/>
      <c r="F38" s="382"/>
      <c r="G38" s="382"/>
      <c r="H38" s="382"/>
      <c r="I38" s="382">
        <v>60</v>
      </c>
      <c r="J38" s="382"/>
      <c r="K38" s="382"/>
      <c r="L38" s="382"/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/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60</v>
      </c>
      <c r="AJ38" s="129" t="s">
        <v>112</v>
      </c>
      <c r="AK38" s="130" t="s">
        <v>161</v>
      </c>
      <c r="AL38" s="268">
        <f>AH38</f>
        <v>60</v>
      </c>
      <c r="AM38" s="269"/>
    </row>
    <row r="39" spans="1:40" ht="16.5" thickBot="1" x14ac:dyDescent="0.3">
      <c r="A39" s="201"/>
      <c r="B39" s="192" t="s">
        <v>66</v>
      </c>
      <c r="C39" s="107">
        <f t="shared" ref="C39:AG39" si="6">SUM(C33:C38)</f>
        <v>4202.4799999999996</v>
      </c>
      <c r="D39" s="107">
        <f t="shared" si="6"/>
        <v>2454.7599999999998</v>
      </c>
      <c r="E39" s="107">
        <f t="shared" si="6"/>
        <v>290</v>
      </c>
      <c r="F39" s="107">
        <f t="shared" si="6"/>
        <v>1618.12</v>
      </c>
      <c r="G39" s="107">
        <f t="shared" si="6"/>
        <v>1869.75</v>
      </c>
      <c r="H39" s="107">
        <f t="shared" si="6"/>
        <v>3062.9500000000003</v>
      </c>
      <c r="I39" s="107">
        <f t="shared" si="6"/>
        <v>6474.11</v>
      </c>
      <c r="J39" s="107">
        <f t="shared" si="6"/>
        <v>4374.3899999999994</v>
      </c>
      <c r="K39" s="107">
        <f t="shared" si="6"/>
        <v>879.88000000000011</v>
      </c>
      <c r="L39" s="107">
        <f t="shared" si="6"/>
        <v>0</v>
      </c>
      <c r="M39" s="107">
        <f t="shared" si="6"/>
        <v>2582.9700000000003</v>
      </c>
      <c r="N39" s="107">
        <f t="shared" si="6"/>
        <v>1817.15</v>
      </c>
      <c r="O39" s="107">
        <f t="shared" si="6"/>
        <v>4003.15</v>
      </c>
      <c r="P39" s="107">
        <f t="shared" si="6"/>
        <v>6953.17</v>
      </c>
      <c r="Q39" s="107">
        <f t="shared" si="6"/>
        <v>6972.7999999999993</v>
      </c>
      <c r="R39" s="107">
        <f t="shared" si="6"/>
        <v>2783.45</v>
      </c>
      <c r="S39" s="107">
        <f t="shared" si="6"/>
        <v>0</v>
      </c>
      <c r="T39" s="107">
        <f t="shared" si="6"/>
        <v>2541.62</v>
      </c>
      <c r="U39" s="107">
        <f t="shared" si="6"/>
        <v>2256.59</v>
      </c>
      <c r="V39" s="107">
        <f t="shared" si="6"/>
        <v>4007.56</v>
      </c>
      <c r="W39" s="107">
        <f t="shared" si="6"/>
        <v>7712.88</v>
      </c>
      <c r="X39" s="107">
        <f t="shared" si="6"/>
        <v>6717.7</v>
      </c>
      <c r="Y39" s="107">
        <f t="shared" si="6"/>
        <v>3324.4300000000003</v>
      </c>
      <c r="Z39" s="107">
        <f t="shared" si="6"/>
        <v>3228.02</v>
      </c>
      <c r="AA39" s="107">
        <f t="shared" si="6"/>
        <v>5835</v>
      </c>
      <c r="AB39" s="107">
        <f t="shared" si="6"/>
        <v>4009.2200000000003</v>
      </c>
      <c r="AC39" s="107">
        <f t="shared" si="6"/>
        <v>5561.99</v>
      </c>
      <c r="AD39" s="107">
        <f t="shared" si="6"/>
        <v>14617.039999999999</v>
      </c>
      <c r="AE39" s="107">
        <f t="shared" si="6"/>
        <v>17357.920000000002</v>
      </c>
      <c r="AF39" s="107">
        <f t="shared" si="6"/>
        <v>9905.5</v>
      </c>
      <c r="AG39" s="107">
        <f t="shared" si="6"/>
        <v>6075.22</v>
      </c>
      <c r="AH39" s="110">
        <f>SUM(C39:AG39)</f>
        <v>143489.82</v>
      </c>
      <c r="AI39" s="59"/>
      <c r="AJ39" s="477" t="s">
        <v>77</v>
      </c>
      <c r="AK39" s="478"/>
      <c r="AL39" s="479">
        <f>SUM(AL33:AM38)</f>
        <v>140013.41999999998</v>
      </c>
      <c r="AM39" s="480"/>
      <c r="AN39" s="272">
        <f>AL39-AH39+AL45+AM45</f>
        <v>-2.2964741219766438E-11</v>
      </c>
    </row>
    <row r="40" spans="1:40" x14ac:dyDescent="0.25">
      <c r="A40" s="202"/>
      <c r="B40" s="193" t="s">
        <v>107</v>
      </c>
      <c r="C40" s="72">
        <f>C30</f>
        <v>4201.22</v>
      </c>
      <c r="D40" s="72">
        <f t="shared" ref="D40:AG40" si="7">D30</f>
        <v>2394.7600000000002</v>
      </c>
      <c r="E40" s="72">
        <f t="shared" si="7"/>
        <v>290</v>
      </c>
      <c r="F40" s="72">
        <f t="shared" si="7"/>
        <v>1618.12</v>
      </c>
      <c r="G40" s="72">
        <f t="shared" si="7"/>
        <v>1869.75</v>
      </c>
      <c r="H40" s="72">
        <f t="shared" si="7"/>
        <v>3062.98</v>
      </c>
      <c r="I40" s="72">
        <f t="shared" si="7"/>
        <v>6473.26</v>
      </c>
      <c r="J40" s="72">
        <f t="shared" si="7"/>
        <v>4375.66</v>
      </c>
      <c r="K40" s="72">
        <f t="shared" si="7"/>
        <v>879.87</v>
      </c>
      <c r="L40" s="72">
        <f t="shared" si="7"/>
        <v>0</v>
      </c>
      <c r="M40" s="72">
        <f t="shared" si="7"/>
        <v>2587.42</v>
      </c>
      <c r="N40" s="72">
        <f t="shared" si="7"/>
        <v>1814.59</v>
      </c>
      <c r="O40" s="72">
        <f t="shared" si="7"/>
        <v>4003.15</v>
      </c>
      <c r="P40" s="72">
        <f t="shared" si="7"/>
        <v>6953.17</v>
      </c>
      <c r="Q40" s="72">
        <f t="shared" si="7"/>
        <v>7015.64</v>
      </c>
      <c r="R40" s="72">
        <f t="shared" si="7"/>
        <v>2783.45</v>
      </c>
      <c r="S40" s="72">
        <f t="shared" si="7"/>
        <v>0</v>
      </c>
      <c r="T40" s="72">
        <f t="shared" si="7"/>
        <v>2527.58</v>
      </c>
      <c r="U40" s="72">
        <f t="shared" si="7"/>
        <v>2259.59</v>
      </c>
      <c r="V40" s="72">
        <f t="shared" si="7"/>
        <v>4013.41</v>
      </c>
      <c r="W40" s="72">
        <f t="shared" si="7"/>
        <v>7711.35</v>
      </c>
      <c r="X40" s="72">
        <f t="shared" si="7"/>
        <v>6725.26</v>
      </c>
      <c r="Y40" s="72">
        <f t="shared" si="7"/>
        <v>3279.43</v>
      </c>
      <c r="Z40" s="72">
        <f t="shared" si="7"/>
        <v>3247.37</v>
      </c>
      <c r="AA40" s="72">
        <f t="shared" si="7"/>
        <v>5835</v>
      </c>
      <c r="AB40" s="72">
        <f t="shared" si="7"/>
        <v>4009.22</v>
      </c>
      <c r="AC40" s="72">
        <f t="shared" si="7"/>
        <v>5561.99</v>
      </c>
      <c r="AD40" s="72">
        <f t="shared" si="7"/>
        <v>14617.04</v>
      </c>
      <c r="AE40" s="72">
        <f t="shared" si="7"/>
        <v>17444.95</v>
      </c>
      <c r="AF40" s="72">
        <f t="shared" si="7"/>
        <v>9515.5</v>
      </c>
      <c r="AG40" s="72">
        <f t="shared" si="7"/>
        <v>6075.22</v>
      </c>
      <c r="AH40" s="111">
        <f t="shared" ref="AH40:AH41" si="8">SUM(C40:AG40)</f>
        <v>143145.94999999998</v>
      </c>
      <c r="AJ40" s="59"/>
      <c r="AK40" s="59"/>
    </row>
    <row r="41" spans="1:40" ht="16.5" thickBot="1" x14ac:dyDescent="0.3">
      <c r="A41" s="203"/>
      <c r="B41" s="104" t="s">
        <v>105</v>
      </c>
      <c r="C41" s="133">
        <f>C39-C40</f>
        <v>1.2599999999993088</v>
      </c>
      <c r="D41" s="133">
        <f>D39-D40</f>
        <v>59.999999999999545</v>
      </c>
      <c r="E41" s="133">
        <f>E39-E40</f>
        <v>0</v>
      </c>
      <c r="F41" s="133">
        <f t="shared" ref="F41:AG41" si="9">F39-F40</f>
        <v>0</v>
      </c>
      <c r="G41" s="133">
        <f t="shared" si="9"/>
        <v>0</v>
      </c>
      <c r="H41" s="133">
        <f t="shared" si="9"/>
        <v>-2.9999999999745341E-2</v>
      </c>
      <c r="I41" s="133">
        <f t="shared" si="9"/>
        <v>0.8499999999994543</v>
      </c>
      <c r="J41" s="133">
        <f t="shared" si="9"/>
        <v>-1.2700000000004366</v>
      </c>
      <c r="K41" s="133">
        <f t="shared" si="9"/>
        <v>1.0000000000104592E-2</v>
      </c>
      <c r="L41" s="133">
        <f t="shared" si="9"/>
        <v>0</v>
      </c>
      <c r="M41" s="133">
        <f t="shared" si="9"/>
        <v>-4.4499999999998181</v>
      </c>
      <c r="N41" s="133">
        <f t="shared" si="9"/>
        <v>2.5600000000001728</v>
      </c>
      <c r="O41" s="133">
        <f t="shared" si="9"/>
        <v>0</v>
      </c>
      <c r="P41" s="133">
        <f t="shared" si="9"/>
        <v>0</v>
      </c>
      <c r="Q41" s="133">
        <f t="shared" si="9"/>
        <v>-42.840000000001055</v>
      </c>
      <c r="R41" s="133">
        <f t="shared" si="9"/>
        <v>0</v>
      </c>
      <c r="S41" s="133">
        <f t="shared" si="9"/>
        <v>0</v>
      </c>
      <c r="T41" s="133">
        <f t="shared" si="9"/>
        <v>14.039999999999964</v>
      </c>
      <c r="U41" s="133">
        <f t="shared" si="9"/>
        <v>-3</v>
      </c>
      <c r="V41" s="133">
        <f t="shared" si="9"/>
        <v>-5.8499999999999091</v>
      </c>
      <c r="W41" s="133">
        <f t="shared" si="9"/>
        <v>1.5299999999997453</v>
      </c>
      <c r="X41" s="133">
        <f t="shared" si="9"/>
        <v>-7.5600000000004002</v>
      </c>
      <c r="Y41" s="133">
        <f t="shared" si="9"/>
        <v>45.000000000000455</v>
      </c>
      <c r="Z41" s="133">
        <f t="shared" si="9"/>
        <v>-19.349999999999909</v>
      </c>
      <c r="AA41" s="133">
        <f t="shared" si="9"/>
        <v>0</v>
      </c>
      <c r="AB41" s="133">
        <f t="shared" si="9"/>
        <v>0</v>
      </c>
      <c r="AC41" s="133">
        <f t="shared" si="9"/>
        <v>0</v>
      </c>
      <c r="AD41" s="133">
        <f t="shared" si="9"/>
        <v>0</v>
      </c>
      <c r="AE41" s="133">
        <f t="shared" si="9"/>
        <v>-87.029999999998836</v>
      </c>
      <c r="AF41" s="133">
        <f t="shared" si="9"/>
        <v>390</v>
      </c>
      <c r="AG41" s="133">
        <f t="shared" si="9"/>
        <v>0</v>
      </c>
      <c r="AH41" s="112">
        <f t="shared" si="8"/>
        <v>343.86999999999864</v>
      </c>
      <c r="AJ41" s="376">
        <f>AH39-AH40</f>
        <v>343.87000000002445</v>
      </c>
      <c r="AK41" s="267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7"/>
      <c r="AK42" s="267"/>
      <c r="AL42" s="99"/>
      <c r="AM42" s="189"/>
      <c r="AN42" s="191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-1.2600000000002183</v>
      </c>
      <c r="D43" s="114">
        <f t="shared" si="10"/>
        <v>-59.999999999999545</v>
      </c>
      <c r="E43" s="114">
        <f t="shared" si="10"/>
        <v>0</v>
      </c>
      <c r="F43" s="114">
        <f t="shared" si="10"/>
        <v>0</v>
      </c>
      <c r="G43" s="114">
        <f t="shared" si="10"/>
        <v>0</v>
      </c>
      <c r="H43" s="114">
        <f t="shared" si="10"/>
        <v>2.9999999999745341E-2</v>
      </c>
      <c r="I43" s="114">
        <f t="shared" si="10"/>
        <v>-0.8500000000003638</v>
      </c>
      <c r="J43" s="114">
        <f t="shared" si="10"/>
        <v>1.2700000000004366</v>
      </c>
      <c r="K43" s="114">
        <f t="shared" si="10"/>
        <v>-1.0000000000218279E-2</v>
      </c>
      <c r="L43" s="114">
        <f t="shared" si="10"/>
        <v>0</v>
      </c>
      <c r="M43" s="114">
        <f t="shared" si="10"/>
        <v>4.4499999999998181</v>
      </c>
      <c r="N43" s="114">
        <f t="shared" si="10"/>
        <v>-2.5600000000001728</v>
      </c>
      <c r="O43" s="114">
        <f t="shared" si="10"/>
        <v>0</v>
      </c>
      <c r="P43" s="114">
        <f t="shared" si="10"/>
        <v>0</v>
      </c>
      <c r="Q43" s="114">
        <f t="shared" si="10"/>
        <v>42.840000000000146</v>
      </c>
      <c r="R43" s="114">
        <f t="shared" si="10"/>
        <v>0</v>
      </c>
      <c r="S43" s="114">
        <f t="shared" si="10"/>
        <v>0</v>
      </c>
      <c r="T43" s="114">
        <f t="shared" si="10"/>
        <v>-14.039999999999509</v>
      </c>
      <c r="U43" s="114">
        <f t="shared" si="10"/>
        <v>3</v>
      </c>
      <c r="V43" s="114">
        <f t="shared" si="10"/>
        <v>5.8499999999999091</v>
      </c>
      <c r="W43" s="114">
        <f t="shared" si="10"/>
        <v>-1.5299999999997453</v>
      </c>
      <c r="X43" s="114">
        <f t="shared" si="10"/>
        <v>7.5600000000004002</v>
      </c>
      <c r="Y43" s="114">
        <f t="shared" si="10"/>
        <v>-45.000000000000455</v>
      </c>
      <c r="Z43" s="114">
        <f t="shared" si="10"/>
        <v>19.349999999999909</v>
      </c>
      <c r="AA43" s="114">
        <f t="shared" si="10"/>
        <v>0</v>
      </c>
      <c r="AB43" s="114">
        <f t="shared" si="10"/>
        <v>0</v>
      </c>
      <c r="AC43" s="114">
        <f t="shared" si="10"/>
        <v>0</v>
      </c>
      <c r="AD43" s="114">
        <f t="shared" si="10"/>
        <v>0</v>
      </c>
      <c r="AE43" s="114">
        <f t="shared" si="10"/>
        <v>87.029999999998836</v>
      </c>
      <c r="AF43" s="114">
        <f t="shared" si="10"/>
        <v>0</v>
      </c>
      <c r="AG43" s="114">
        <f t="shared" si="10"/>
        <v>0</v>
      </c>
      <c r="AH43" s="115">
        <f>SUM(C43:AG43)</f>
        <v>46.129999999998972</v>
      </c>
      <c r="AI43" s="62"/>
      <c r="AJ43" s="211" t="s">
        <v>32</v>
      </c>
      <c r="AK43" s="212" t="s">
        <v>92</v>
      </c>
      <c r="AL43" s="270">
        <f>AH43</f>
        <v>46.129999999998972</v>
      </c>
      <c r="AM43" s="271"/>
      <c r="AN43" s="273" t="s">
        <v>131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458">
        <f>AL39+AL43+AM43+AL45+AM45</f>
        <v>143535.94999999998</v>
      </c>
      <c r="AN44" s="102">
        <f>AM44-AH29</f>
        <v>0</v>
      </c>
    </row>
    <row r="45" spans="1:40" s="99" customFormat="1" ht="16.5" thickBot="1" x14ac:dyDescent="0.3">
      <c r="A45" s="211" t="s">
        <v>208</v>
      </c>
      <c r="B45" s="101" t="s">
        <v>207</v>
      </c>
      <c r="C45" s="447">
        <v>98.17</v>
      </c>
      <c r="D45" s="447">
        <f>48.32+0.96</f>
        <v>49.28</v>
      </c>
      <c r="E45" s="447">
        <v>8.6999999999999993</v>
      </c>
      <c r="F45" s="447">
        <v>34.479999999999997</v>
      </c>
      <c r="G45" s="447">
        <v>46.99</v>
      </c>
      <c r="H45" s="447">
        <v>68.5</v>
      </c>
      <c r="I45" s="447">
        <v>150.56</v>
      </c>
      <c r="J45" s="447">
        <v>97.81</v>
      </c>
      <c r="K45" s="447">
        <v>16.12</v>
      </c>
      <c r="L45" s="447"/>
      <c r="M45" s="447">
        <v>66.5</v>
      </c>
      <c r="N45" s="447">
        <v>45.26</v>
      </c>
      <c r="O45" s="447">
        <v>67.069999999999993</v>
      </c>
      <c r="P45" s="447">
        <v>174.83</v>
      </c>
      <c r="Q45" s="447">
        <v>164.16</v>
      </c>
      <c r="R45" s="447">
        <v>71.64</v>
      </c>
      <c r="S45" s="447"/>
      <c r="T45" s="447">
        <v>62.36</v>
      </c>
      <c r="U45" s="447">
        <v>47.69</v>
      </c>
      <c r="V45" s="447">
        <v>99.47</v>
      </c>
      <c r="W45" s="447">
        <v>211.15</v>
      </c>
      <c r="X45" s="447">
        <v>170.7</v>
      </c>
      <c r="Y45" s="461">
        <v>78.55</v>
      </c>
      <c r="Z45" s="461">
        <v>71.52</v>
      </c>
      <c r="AA45" s="461">
        <f>139.53-1.26-3.24</f>
        <v>135.03</v>
      </c>
      <c r="AB45" s="461">
        <v>95.34</v>
      </c>
      <c r="AC45" s="461">
        <v>143.19</v>
      </c>
      <c r="AD45" s="461">
        <v>371.56</v>
      </c>
      <c r="AE45" s="461">
        <f>453.83-0.54-1.35</f>
        <v>451.93999999999994</v>
      </c>
      <c r="AF45" s="461">
        <v>227.7</v>
      </c>
      <c r="AG45" s="462">
        <v>150.13</v>
      </c>
      <c r="AH45" s="115">
        <f t="shared" ref="AH45" si="11">SUM(C45:AG45)</f>
        <v>3476.4</v>
      </c>
      <c r="AI45" s="62"/>
      <c r="AJ45" s="211" t="s">
        <v>208</v>
      </c>
      <c r="AK45" s="212" t="s">
        <v>209</v>
      </c>
      <c r="AL45" s="270">
        <f>SUM(C45:X45)</f>
        <v>1751.4400000000003</v>
      </c>
      <c r="AM45" s="463">
        <f>SUM(Y45:AG45)</f>
        <v>1724.96</v>
      </c>
      <c r="AN45" s="273"/>
    </row>
    <row r="46" spans="1:40" s="102" customFormat="1" ht="16.5" thickBot="1" x14ac:dyDescent="0.3">
      <c r="A46" s="224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218</v>
      </c>
      <c r="D47" s="84">
        <v>83</v>
      </c>
      <c r="E47" s="84"/>
      <c r="F47" s="84">
        <v>62</v>
      </c>
      <c r="G47" s="84">
        <v>93</v>
      </c>
      <c r="H47" s="84">
        <v>149</v>
      </c>
      <c r="I47" s="84">
        <v>399</v>
      </c>
      <c r="J47" s="84">
        <v>258</v>
      </c>
      <c r="K47" s="84">
        <v>75</v>
      </c>
      <c r="L47" s="84"/>
      <c r="M47" s="84">
        <v>134</v>
      </c>
      <c r="N47" s="84">
        <v>113</v>
      </c>
      <c r="O47" s="84">
        <f>181+60</f>
        <v>241</v>
      </c>
      <c r="P47" s="84">
        <v>384</v>
      </c>
      <c r="Q47" s="84">
        <v>416</v>
      </c>
      <c r="R47" s="84">
        <v>130</v>
      </c>
      <c r="S47" s="84"/>
      <c r="T47" s="84">
        <v>156</v>
      </c>
      <c r="U47" s="84">
        <v>139</v>
      </c>
      <c r="V47" s="84">
        <f>215+6</f>
        <v>221</v>
      </c>
      <c r="W47" s="84">
        <v>365</v>
      </c>
      <c r="X47" s="84">
        <v>339</v>
      </c>
      <c r="Y47" s="84">
        <v>194</v>
      </c>
      <c r="Z47" s="84">
        <v>221</v>
      </c>
      <c r="AA47" s="84">
        <f>217+51</f>
        <v>268</v>
      </c>
      <c r="AB47" s="84">
        <v>267</v>
      </c>
      <c r="AC47" s="84">
        <v>373</v>
      </c>
      <c r="AD47" s="84">
        <v>864</v>
      </c>
      <c r="AE47" s="84">
        <v>952</v>
      </c>
      <c r="AF47" s="84">
        <v>564</v>
      </c>
      <c r="AG47" s="84">
        <v>382</v>
      </c>
      <c r="AH47" s="103">
        <f>SUM(C47:AG47)</f>
        <v>8060</v>
      </c>
      <c r="AJ47" s="126">
        <f>AH47</f>
        <v>8060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37</v>
      </c>
      <c r="D48" s="94">
        <v>36</v>
      </c>
      <c r="E48" s="94">
        <v>2</v>
      </c>
      <c r="F48" s="94">
        <v>41</v>
      </c>
      <c r="G48" s="94">
        <v>58</v>
      </c>
      <c r="H48" s="94">
        <v>65</v>
      </c>
      <c r="I48" s="94">
        <v>65</v>
      </c>
      <c r="J48" s="94">
        <v>68</v>
      </c>
      <c r="K48" s="94">
        <v>9</v>
      </c>
      <c r="L48" s="94"/>
      <c r="M48" s="94">
        <v>45</v>
      </c>
      <c r="N48" s="94">
        <v>41</v>
      </c>
      <c r="O48" s="94">
        <v>52</v>
      </c>
      <c r="P48" s="94">
        <v>55</v>
      </c>
      <c r="Q48" s="94">
        <v>82</v>
      </c>
      <c r="R48" s="94">
        <v>39</v>
      </c>
      <c r="S48" s="94"/>
      <c r="T48" s="94">
        <v>56</v>
      </c>
      <c r="U48" s="94">
        <v>44</v>
      </c>
      <c r="V48" s="94">
        <v>49</v>
      </c>
      <c r="W48" s="94">
        <v>56</v>
      </c>
      <c r="X48" s="94">
        <v>97</v>
      </c>
      <c r="Y48" s="94">
        <v>39</v>
      </c>
      <c r="Z48" s="94">
        <v>28</v>
      </c>
      <c r="AA48" s="94">
        <v>59</v>
      </c>
      <c r="AB48" s="94">
        <v>43</v>
      </c>
      <c r="AC48" s="94">
        <v>74</v>
      </c>
      <c r="AD48" s="94">
        <v>70</v>
      </c>
      <c r="AE48" s="94">
        <v>38</v>
      </c>
      <c r="AF48" s="94">
        <v>86</v>
      </c>
      <c r="AG48" s="94">
        <v>55</v>
      </c>
      <c r="AH48" s="105">
        <f>SUM(C48:AG48)</f>
        <v>1489</v>
      </c>
      <c r="AJ48" s="135">
        <f>AH48</f>
        <v>1489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109</v>
      </c>
      <c r="C50" s="212">
        <f>C47+C48</f>
        <v>255</v>
      </c>
      <c r="D50" s="212">
        <f t="shared" ref="D50:AG50" si="12">D47+D48</f>
        <v>119</v>
      </c>
      <c r="E50" s="212">
        <f t="shared" si="12"/>
        <v>2</v>
      </c>
      <c r="F50" s="212">
        <f t="shared" si="12"/>
        <v>103</v>
      </c>
      <c r="G50" s="212">
        <f t="shared" si="12"/>
        <v>151</v>
      </c>
      <c r="H50" s="212">
        <f t="shared" si="12"/>
        <v>214</v>
      </c>
      <c r="I50" s="212">
        <f t="shared" si="12"/>
        <v>464</v>
      </c>
      <c r="J50" s="212">
        <f t="shared" si="12"/>
        <v>326</v>
      </c>
      <c r="K50" s="212">
        <f t="shared" si="12"/>
        <v>84</v>
      </c>
      <c r="L50" s="212">
        <f t="shared" si="12"/>
        <v>0</v>
      </c>
      <c r="M50" s="212">
        <f t="shared" si="12"/>
        <v>179</v>
      </c>
      <c r="N50" s="212">
        <f t="shared" si="12"/>
        <v>154</v>
      </c>
      <c r="O50" s="212">
        <f t="shared" si="12"/>
        <v>293</v>
      </c>
      <c r="P50" s="212">
        <f t="shared" si="12"/>
        <v>439</v>
      </c>
      <c r="Q50" s="212">
        <f t="shared" si="12"/>
        <v>498</v>
      </c>
      <c r="R50" s="212">
        <f t="shared" si="12"/>
        <v>169</v>
      </c>
      <c r="S50" s="212">
        <f t="shared" si="12"/>
        <v>0</v>
      </c>
      <c r="T50" s="212">
        <f t="shared" si="12"/>
        <v>212</v>
      </c>
      <c r="U50" s="212">
        <f t="shared" si="12"/>
        <v>183</v>
      </c>
      <c r="V50" s="212">
        <f t="shared" si="12"/>
        <v>270</v>
      </c>
      <c r="W50" s="212">
        <f t="shared" si="12"/>
        <v>421</v>
      </c>
      <c r="X50" s="212">
        <f t="shared" si="12"/>
        <v>436</v>
      </c>
      <c r="Y50" s="212">
        <f t="shared" si="12"/>
        <v>233</v>
      </c>
      <c r="Z50" s="212">
        <f t="shared" si="12"/>
        <v>249</v>
      </c>
      <c r="AA50" s="212">
        <f t="shared" si="12"/>
        <v>327</v>
      </c>
      <c r="AB50" s="212">
        <f t="shared" si="12"/>
        <v>310</v>
      </c>
      <c r="AC50" s="212">
        <f t="shared" si="12"/>
        <v>447</v>
      </c>
      <c r="AD50" s="212">
        <f t="shared" si="12"/>
        <v>934</v>
      </c>
      <c r="AE50" s="212">
        <f t="shared" si="12"/>
        <v>990</v>
      </c>
      <c r="AF50" s="212">
        <f t="shared" si="12"/>
        <v>650</v>
      </c>
      <c r="AG50" s="280">
        <f t="shared" si="12"/>
        <v>437</v>
      </c>
      <c r="AH50" s="279">
        <f>SUM(C50:AG50)</f>
        <v>9549</v>
      </c>
      <c r="AJ50" s="211">
        <f>AH50</f>
        <v>9549</v>
      </c>
      <c r="AK50" s="220" t="s">
        <v>109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108</v>
      </c>
      <c r="C52" s="215">
        <f t="shared" ref="C52:AG52" si="13">IF(C50&lt;=1,0,IF(C50&gt;=0,(SUM(C4+C7+(C18*0.5))/C50)))</f>
        <v>12.655686274509803</v>
      </c>
      <c r="D52" s="215">
        <f t="shared" si="13"/>
        <v>8.5142857142857142</v>
      </c>
      <c r="E52" s="215">
        <f t="shared" si="13"/>
        <v>0</v>
      </c>
      <c r="F52" s="215">
        <f t="shared" si="13"/>
        <v>9.0097087378640772</v>
      </c>
      <c r="G52" s="215">
        <f t="shared" si="13"/>
        <v>6.2198675496688747</v>
      </c>
      <c r="H52" s="215">
        <f t="shared" si="13"/>
        <v>7.8280373831775707</v>
      </c>
      <c r="I52" s="215">
        <f t="shared" si="13"/>
        <v>12.095689655172412</v>
      </c>
      <c r="J52" s="215">
        <f t="shared" si="13"/>
        <v>10.636809815950921</v>
      </c>
      <c r="K52" s="215">
        <f t="shared" si="13"/>
        <v>6.1547619047619051</v>
      </c>
      <c r="L52" s="215">
        <f t="shared" si="13"/>
        <v>0</v>
      </c>
      <c r="M52" s="215">
        <f t="shared" si="13"/>
        <v>9.083798882681565</v>
      </c>
      <c r="N52" s="215">
        <f t="shared" si="13"/>
        <v>6.7064935064935058</v>
      </c>
      <c r="O52" s="215">
        <f t="shared" si="13"/>
        <v>10.030034129692833</v>
      </c>
      <c r="P52" s="215">
        <f t="shared" si="13"/>
        <v>12.483826879271069</v>
      </c>
      <c r="Q52" s="215">
        <f t="shared" si="13"/>
        <v>10.197590361445782</v>
      </c>
      <c r="R52" s="215">
        <f t="shared" si="13"/>
        <v>10.29112426035503</v>
      </c>
      <c r="S52" s="215">
        <f t="shared" si="13"/>
        <v>0</v>
      </c>
      <c r="T52" s="215">
        <f t="shared" si="13"/>
        <v>9.7943396226415107</v>
      </c>
      <c r="U52" s="215">
        <f t="shared" si="13"/>
        <v>10.703825136612021</v>
      </c>
      <c r="V52" s="215">
        <f t="shared" si="13"/>
        <v>11.678518518518519</v>
      </c>
      <c r="W52" s="215">
        <f t="shared" si="13"/>
        <v>11.242755344418052</v>
      </c>
      <c r="X52" s="215">
        <f t="shared" si="13"/>
        <v>10.360550458715595</v>
      </c>
      <c r="Y52" s="215">
        <f t="shared" si="13"/>
        <v>9.7201716738197437</v>
      </c>
      <c r="Z52" s="215">
        <f t="shared" si="13"/>
        <v>10.120481927710843</v>
      </c>
      <c r="AA52" s="215">
        <f t="shared" si="13"/>
        <v>10.371865443425078</v>
      </c>
      <c r="AB52" s="215">
        <f t="shared" si="13"/>
        <v>10.027096774193549</v>
      </c>
      <c r="AC52" s="215">
        <f t="shared" si="13"/>
        <v>9.7664429530201353</v>
      </c>
      <c r="AD52" s="215">
        <f t="shared" si="13"/>
        <v>12.340899357601712</v>
      </c>
      <c r="AE52" s="215">
        <f t="shared" si="13"/>
        <v>12.908686868686869</v>
      </c>
      <c r="AF52" s="215">
        <f t="shared" si="13"/>
        <v>10.867692307692307</v>
      </c>
      <c r="AG52" s="215">
        <f t="shared" si="13"/>
        <v>11.392219679633866</v>
      </c>
      <c r="AH52" s="279">
        <f>IFERROR(AVERAGEIF(C52:AG52, "&lt;&gt;0"),)</f>
        <v>10.114402182929314</v>
      </c>
      <c r="AJ52" s="221">
        <f>AH52</f>
        <v>10.114402182929314</v>
      </c>
      <c r="AK52" s="222" t="s">
        <v>110</v>
      </c>
    </row>
    <row r="53" spans="1:37" ht="16.5" thickBot="1" x14ac:dyDescent="0.3"/>
    <row r="54" spans="1:37" ht="16.5" thickBot="1" x14ac:dyDescent="0.3">
      <c r="A54" s="211"/>
      <c r="B54" s="212" t="s">
        <v>122</v>
      </c>
      <c r="C54" s="242">
        <f t="shared" ref="C54:AG54" si="14">IF(C47&lt;=1,0,IF(C47&gt;=0,(SUM(C4+C7+(C18*0.5))/C47)))</f>
        <v>14.803669724770641</v>
      </c>
      <c r="D54" s="242">
        <f t="shared" si="14"/>
        <v>12.20722891566265</v>
      </c>
      <c r="E54" s="242">
        <f t="shared" si="14"/>
        <v>0</v>
      </c>
      <c r="F54" s="242">
        <f t="shared" si="14"/>
        <v>14.96774193548387</v>
      </c>
      <c r="G54" s="242">
        <f t="shared" si="14"/>
        <v>10.098924731182796</v>
      </c>
      <c r="H54" s="242">
        <f t="shared" si="14"/>
        <v>11.242953020134228</v>
      </c>
      <c r="I54" s="242">
        <f t="shared" si="14"/>
        <v>14.066165413533835</v>
      </c>
      <c r="J54" s="242">
        <f t="shared" si="14"/>
        <v>13.44031007751938</v>
      </c>
      <c r="K54" s="242">
        <f t="shared" si="14"/>
        <v>6.8933333333333335</v>
      </c>
      <c r="L54" s="242">
        <f t="shared" si="14"/>
        <v>0</v>
      </c>
      <c r="M54" s="242">
        <f t="shared" si="14"/>
        <v>12.134328358208956</v>
      </c>
      <c r="N54" s="242">
        <f t="shared" si="14"/>
        <v>9.1398230088495573</v>
      </c>
      <c r="O54" s="242">
        <f t="shared" si="14"/>
        <v>12.194190871369296</v>
      </c>
      <c r="P54" s="242">
        <f t="shared" si="14"/>
        <v>14.271875</v>
      </c>
      <c r="Q54" s="242">
        <f t="shared" si="14"/>
        <v>12.207692307692307</v>
      </c>
      <c r="R54" s="242">
        <f t="shared" si="14"/>
        <v>13.378461538461538</v>
      </c>
      <c r="S54" s="242">
        <f t="shared" si="14"/>
        <v>0</v>
      </c>
      <c r="T54" s="242">
        <f t="shared" si="14"/>
        <v>13.310256410256411</v>
      </c>
      <c r="U54" s="242">
        <f t="shared" si="14"/>
        <v>14.092086330935251</v>
      </c>
      <c r="V54" s="242">
        <f t="shared" si="14"/>
        <v>14.267873303167422</v>
      </c>
      <c r="W54" s="242">
        <f t="shared" si="14"/>
        <v>12.967671232876711</v>
      </c>
      <c r="X54" s="242">
        <f t="shared" si="14"/>
        <v>13.325073746312684</v>
      </c>
      <c r="Y54" s="242">
        <f t="shared" si="14"/>
        <v>11.674226804123712</v>
      </c>
      <c r="Z54" s="242">
        <f t="shared" si="14"/>
        <v>11.402714932126697</v>
      </c>
      <c r="AA54" s="242">
        <f t="shared" si="14"/>
        <v>12.655223880597017</v>
      </c>
      <c r="AB54" s="242">
        <f t="shared" si="14"/>
        <v>11.641947565543072</v>
      </c>
      <c r="AC54" s="242">
        <f t="shared" si="14"/>
        <v>11.70402144772118</v>
      </c>
      <c r="AD54" s="242">
        <f t="shared" si="14"/>
        <v>13.34074074074074</v>
      </c>
      <c r="AE54" s="242">
        <f t="shared" si="14"/>
        <v>13.423949579831934</v>
      </c>
      <c r="AF54" s="242">
        <f t="shared" si="14"/>
        <v>12.524822695035461</v>
      </c>
      <c r="AG54" s="242">
        <f t="shared" si="14"/>
        <v>13.032460732984292</v>
      </c>
      <c r="AH54" s="278">
        <f>IFERROR(AVERAGEIF(C54:AG54, "&lt;&gt;0"),)</f>
        <v>12.514634558516249</v>
      </c>
      <c r="AI54" s="243"/>
      <c r="AJ54" s="244">
        <f>AH54</f>
        <v>12.514634558516249</v>
      </c>
      <c r="AK54" s="222" t="s">
        <v>123</v>
      </c>
    </row>
    <row r="55" spans="1:37" ht="16.5" thickBot="1" x14ac:dyDescent="0.3"/>
    <row r="56" spans="1:37" ht="16.5" thickBot="1" x14ac:dyDescent="0.3">
      <c r="A56" s="294"/>
      <c r="B56" s="295" t="s">
        <v>135</v>
      </c>
      <c r="C56" s="296"/>
      <c r="D56" s="296"/>
      <c r="E56" s="296"/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6"/>
      <c r="U56" s="296"/>
      <c r="V56" s="296"/>
      <c r="W56" s="296"/>
      <c r="X56" s="296"/>
      <c r="Y56" s="296"/>
      <c r="Z56" s="296"/>
      <c r="AA56" s="296"/>
      <c r="AB56" s="296"/>
      <c r="AC56" s="296"/>
      <c r="AD56" s="296"/>
      <c r="AE56" s="296"/>
      <c r="AF56" s="296"/>
      <c r="AG56" s="296"/>
      <c r="AH56" s="297" t="s">
        <v>136</v>
      </c>
      <c r="AJ56" s="298" t="s">
        <v>136</v>
      </c>
      <c r="AK56" s="299" t="s">
        <v>133</v>
      </c>
    </row>
    <row r="57" spans="1:37" x14ac:dyDescent="0.25">
      <c r="A57" s="90"/>
      <c r="B57" s="300" t="s">
        <v>137</v>
      </c>
      <c r="C57" s="91"/>
      <c r="D57" s="91">
        <v>98</v>
      </c>
      <c r="E57" s="91"/>
      <c r="F57" s="91">
        <v>98</v>
      </c>
      <c r="G57" s="91">
        <v>98</v>
      </c>
      <c r="H57" s="91">
        <v>98</v>
      </c>
      <c r="I57" s="91">
        <v>98</v>
      </c>
      <c r="J57" s="91">
        <v>98</v>
      </c>
      <c r="K57" s="91"/>
      <c r="L57" s="91"/>
      <c r="M57" s="91"/>
      <c r="N57" s="91" t="s">
        <v>225</v>
      </c>
      <c r="O57" s="91"/>
      <c r="P57" s="91">
        <v>98</v>
      </c>
      <c r="Q57" s="91">
        <v>98</v>
      </c>
      <c r="R57" s="91">
        <v>97</v>
      </c>
      <c r="S57" s="91"/>
      <c r="T57" s="91"/>
      <c r="U57" s="91"/>
      <c r="V57" s="91">
        <v>97</v>
      </c>
      <c r="W57" s="91">
        <v>98</v>
      </c>
      <c r="X57" s="91">
        <v>98</v>
      </c>
      <c r="Y57" s="91">
        <v>98</v>
      </c>
      <c r="Z57" s="91">
        <v>105</v>
      </c>
      <c r="AA57" s="91">
        <v>99</v>
      </c>
      <c r="AB57" s="91">
        <v>99</v>
      </c>
      <c r="AC57" s="91">
        <v>98</v>
      </c>
      <c r="AD57" s="91">
        <v>98</v>
      </c>
      <c r="AE57" s="91">
        <v>98</v>
      </c>
      <c r="AF57" s="91">
        <v>98</v>
      </c>
      <c r="AG57" s="91">
        <v>104</v>
      </c>
      <c r="AH57" s="301">
        <f>IFERROR(AVERAGEIF(C57:AG57,"&lt;&gt;0"),)</f>
        <v>98.61904761904762</v>
      </c>
      <c r="AJ57" s="302">
        <f>AH57</f>
        <v>98.61904761904762</v>
      </c>
      <c r="AK57" s="303" t="s">
        <v>138</v>
      </c>
    </row>
    <row r="58" spans="1:37" x14ac:dyDescent="0.25">
      <c r="A58" s="90"/>
      <c r="B58" s="300" t="s">
        <v>160</v>
      </c>
      <c r="C58" s="91"/>
      <c r="D58" s="91" t="s">
        <v>225</v>
      </c>
      <c r="E58" s="91"/>
      <c r="F58" s="91" t="s">
        <v>225</v>
      </c>
      <c r="G58" s="91">
        <v>90</v>
      </c>
      <c r="H58" s="91" t="s">
        <v>225</v>
      </c>
      <c r="I58" s="91">
        <v>89</v>
      </c>
      <c r="J58" s="91">
        <v>87</v>
      </c>
      <c r="K58" s="91"/>
      <c r="L58" s="91"/>
      <c r="M58" s="91"/>
      <c r="N58" s="91" t="s">
        <v>225</v>
      </c>
      <c r="O58" s="91"/>
      <c r="P58" s="91">
        <v>92</v>
      </c>
      <c r="Q58" s="91">
        <v>95</v>
      </c>
      <c r="R58" s="91" t="s">
        <v>225</v>
      </c>
      <c r="S58" s="91"/>
      <c r="T58" s="91"/>
      <c r="U58" s="91"/>
      <c r="V58" s="91" t="s">
        <v>225</v>
      </c>
      <c r="W58" s="91">
        <v>88</v>
      </c>
      <c r="X58" s="91">
        <v>91</v>
      </c>
      <c r="Y58" s="91">
        <v>92</v>
      </c>
      <c r="Z58" s="91">
        <v>93</v>
      </c>
      <c r="AA58" s="91">
        <v>86</v>
      </c>
      <c r="AB58" s="91">
        <v>92</v>
      </c>
      <c r="AC58" s="91">
        <v>94</v>
      </c>
      <c r="AD58" s="91">
        <v>91</v>
      </c>
      <c r="AE58" s="91">
        <v>88</v>
      </c>
      <c r="AF58" s="91">
        <v>86</v>
      </c>
      <c r="AG58" s="91">
        <v>91</v>
      </c>
      <c r="AH58" s="301">
        <f t="shared" ref="AH58:AH60" si="15">IFERROR(AVERAGEIF(C58:AG58,"&lt;&gt;0"),)</f>
        <v>90.3125</v>
      </c>
      <c r="AJ58" s="304">
        <f>AH58</f>
        <v>90.3125</v>
      </c>
      <c r="AK58" s="305" t="s">
        <v>139</v>
      </c>
    </row>
    <row r="59" spans="1:37" x14ac:dyDescent="0.25">
      <c r="A59" s="90"/>
      <c r="B59" s="300" t="s">
        <v>140</v>
      </c>
      <c r="C59" s="300"/>
      <c r="D59" s="300">
        <v>80</v>
      </c>
      <c r="E59" s="300"/>
      <c r="F59" s="300">
        <v>77</v>
      </c>
      <c r="G59" s="300">
        <v>80</v>
      </c>
      <c r="H59" s="300">
        <v>84</v>
      </c>
      <c r="I59" s="300">
        <v>85</v>
      </c>
      <c r="J59" s="300">
        <v>83</v>
      </c>
      <c r="K59" s="300"/>
      <c r="L59" s="300"/>
      <c r="M59" s="300"/>
      <c r="N59" s="300">
        <v>80</v>
      </c>
      <c r="O59" s="300"/>
      <c r="P59" s="300">
        <v>81</v>
      </c>
      <c r="Q59" s="300">
        <v>85</v>
      </c>
      <c r="R59" s="300">
        <v>85</v>
      </c>
      <c r="S59" s="300"/>
      <c r="T59" s="300"/>
      <c r="U59" s="300"/>
      <c r="V59" s="300">
        <v>84</v>
      </c>
      <c r="W59" s="300">
        <v>81</v>
      </c>
      <c r="X59" s="300">
        <v>83</v>
      </c>
      <c r="Y59" s="300">
        <v>83</v>
      </c>
      <c r="Z59" s="300">
        <v>80</v>
      </c>
      <c r="AA59" s="300">
        <v>79</v>
      </c>
      <c r="AB59" s="300">
        <v>85</v>
      </c>
      <c r="AC59" s="300">
        <v>85</v>
      </c>
      <c r="AD59" s="300">
        <v>85</v>
      </c>
      <c r="AE59" s="300">
        <v>84</v>
      </c>
      <c r="AF59" s="300">
        <v>80</v>
      </c>
      <c r="AG59" s="300">
        <v>80</v>
      </c>
      <c r="AH59" s="301">
        <f t="shared" si="15"/>
        <v>82.227272727272734</v>
      </c>
      <c r="AJ59" s="304">
        <f>AH59</f>
        <v>82.227272727272734</v>
      </c>
      <c r="AK59" s="305" t="s">
        <v>141</v>
      </c>
    </row>
    <row r="60" spans="1:37" ht="16.5" thickBot="1" x14ac:dyDescent="0.3">
      <c r="A60" s="81"/>
      <c r="B60" s="306" t="s">
        <v>142</v>
      </c>
      <c r="C60" s="307"/>
      <c r="D60" s="307"/>
      <c r="E60" s="307"/>
      <c r="F60" s="307"/>
      <c r="G60" s="307"/>
      <c r="H60" s="307"/>
      <c r="I60" s="307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07"/>
      <c r="AA60" s="307"/>
      <c r="AB60" s="307"/>
      <c r="AC60" s="307"/>
      <c r="AD60" s="307"/>
      <c r="AE60" s="307"/>
      <c r="AF60" s="307"/>
      <c r="AG60" s="307"/>
      <c r="AH60" s="308">
        <f t="shared" si="15"/>
        <v>0</v>
      </c>
      <c r="AJ60" s="309">
        <f>AH60</f>
        <v>0</v>
      </c>
      <c r="AK60" s="82" t="s">
        <v>143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9" priority="12" operator="notEqual">
      <formula>0</formula>
    </cfRule>
  </conditionalFormatting>
  <conditionalFormatting sqref="C43:AG43">
    <cfRule type="cellIs" dxfId="8" priority="11" operator="notEqual">
      <formula>0</formula>
    </cfRule>
  </conditionalFormatting>
  <conditionalFormatting sqref="C31:AH3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C41:AG4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N39">
    <cfRule type="cellIs" dxfId="3" priority="3" operator="lessThan">
      <formula>0</formula>
    </cfRule>
    <cfRule type="cellIs" dxfId="2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sqref="A1:B1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484"/>
      <c r="B1" s="485"/>
      <c r="C1" s="315" t="s">
        <v>146</v>
      </c>
      <c r="D1" s="316" t="s">
        <v>63</v>
      </c>
      <c r="E1" s="316" t="s">
        <v>35</v>
      </c>
      <c r="F1" s="316" t="s">
        <v>147</v>
      </c>
      <c r="G1" s="316" t="s">
        <v>114</v>
      </c>
      <c r="H1" s="316" t="s">
        <v>79</v>
      </c>
      <c r="I1" s="316" t="s">
        <v>41</v>
      </c>
      <c r="J1" s="317"/>
      <c r="K1" s="318" t="s">
        <v>137</v>
      </c>
      <c r="L1" s="318" t="s">
        <v>148</v>
      </c>
      <c r="M1" s="318" t="s">
        <v>140</v>
      </c>
      <c r="N1" s="317"/>
      <c r="O1" s="318" t="s">
        <v>149</v>
      </c>
    </row>
    <row r="2" spans="1:15" x14ac:dyDescent="0.25">
      <c r="A2" s="319">
        <f>'Cash Flow'!A8</f>
        <v>44682</v>
      </c>
      <c r="B2" s="354" t="str">
        <f>TEXT(A2,"ddd")</f>
        <v>Sun</v>
      </c>
      <c r="C2" s="320">
        <f t="array" ref="C2:C32">TRANSPOSE(Pool!C4:AG4)+TRANSPOSE(Pool!C18:AG18*0.5)</f>
        <v>3227.2</v>
      </c>
      <c r="D2" s="320">
        <f t="array" ref="D2:D32">TRANSPOSE(Pool!C6:AG6)</f>
        <v>0</v>
      </c>
      <c r="E2" s="320">
        <f t="array" ref="E2:E32">TRANSPOSE(Pool!C14:AG14)</f>
        <v>0</v>
      </c>
      <c r="F2" s="320">
        <f t="array" ref="F2:F32">TRANSPOSE(Pool!C15:AG15)</f>
        <v>194.92</v>
      </c>
      <c r="G2" s="320">
        <f t="array" ref="G2:G32">TRANSPOSE(Pool!C16:AG16)</f>
        <v>0</v>
      </c>
      <c r="H2" s="320">
        <f t="array" ref="H2:H32">TRANSPOSE(Pool!C17:AG17)+TRANSPOSE(Pool!C18:AG18*0.5)</f>
        <v>145</v>
      </c>
      <c r="I2" s="323">
        <f t="array" ref="I2:I32">TRANSPOSE(Pool!C21:AG21)</f>
        <v>0</v>
      </c>
      <c r="J2" s="326"/>
      <c r="K2" s="327">
        <f t="array" ref="K2:K32">TRANSPOSE(Pool!C57:AG57)</f>
        <v>0</v>
      </c>
      <c r="L2" s="330">
        <f t="array" ref="L2:L32">TRANSPOSE(Pool!C58:AG58)</f>
        <v>0</v>
      </c>
      <c r="M2" s="333">
        <f t="array" ref="M2:M32">TRANSPOSE(Pool!C59:AG59)</f>
        <v>0</v>
      </c>
      <c r="N2" s="326"/>
      <c r="O2" s="337">
        <f t="array" ref="O2:O32">TRANSPOSE(Pool!C50:AG50)</f>
        <v>255</v>
      </c>
    </row>
    <row r="3" spans="1:15" x14ac:dyDescent="0.25">
      <c r="A3" s="340">
        <f t="shared" ref="A3:A32" si="0">SUM(A2+1)</f>
        <v>44683</v>
      </c>
      <c r="B3" s="355" t="str">
        <f>TEXT(A3,"ddd")</f>
        <v>Mon</v>
      </c>
      <c r="C3" s="321">
        <v>1013.2</v>
      </c>
      <c r="D3" s="321">
        <v>0</v>
      </c>
      <c r="E3" s="321">
        <v>44</v>
      </c>
      <c r="F3" s="321">
        <v>83.63</v>
      </c>
      <c r="G3" s="321">
        <v>0</v>
      </c>
      <c r="H3" s="321">
        <v>305</v>
      </c>
      <c r="I3" s="324">
        <v>0</v>
      </c>
      <c r="J3" s="326"/>
      <c r="K3" s="328">
        <v>98</v>
      </c>
      <c r="L3" s="331" t="str">
        <v>closed</v>
      </c>
      <c r="M3" s="334">
        <v>80</v>
      </c>
      <c r="N3" s="326"/>
      <c r="O3" s="338">
        <v>119</v>
      </c>
    </row>
    <row r="4" spans="1:15" x14ac:dyDescent="0.25">
      <c r="A4" s="340">
        <f t="shared" si="0"/>
        <v>44684</v>
      </c>
      <c r="B4" s="355" t="str">
        <f>TEXT(A4,"DDD")</f>
        <v>Tue</v>
      </c>
      <c r="C4" s="321">
        <v>0</v>
      </c>
      <c r="D4" s="321">
        <v>0</v>
      </c>
      <c r="E4" s="321">
        <v>0</v>
      </c>
      <c r="F4" s="321">
        <v>0</v>
      </c>
      <c r="G4" s="321">
        <v>0</v>
      </c>
      <c r="H4" s="321">
        <v>145</v>
      </c>
      <c r="I4" s="324">
        <v>0</v>
      </c>
      <c r="J4" s="326"/>
      <c r="K4" s="328">
        <v>0</v>
      </c>
      <c r="L4" s="331">
        <v>0</v>
      </c>
      <c r="M4" s="334">
        <v>0</v>
      </c>
      <c r="N4" s="326"/>
      <c r="O4" s="338">
        <v>2</v>
      </c>
    </row>
    <row r="5" spans="1:15" x14ac:dyDescent="0.25">
      <c r="A5" s="340">
        <f t="shared" si="0"/>
        <v>44685</v>
      </c>
      <c r="B5" s="355" t="str">
        <f>TEXT(A5,"ddd")</f>
        <v>Wed</v>
      </c>
      <c r="C5" s="321">
        <v>928</v>
      </c>
      <c r="D5" s="321">
        <v>0</v>
      </c>
      <c r="E5" s="321">
        <v>4</v>
      </c>
      <c r="F5" s="321">
        <v>83.62</v>
      </c>
      <c r="G5" s="321">
        <v>0</v>
      </c>
      <c r="H5" s="321">
        <v>250</v>
      </c>
      <c r="I5" s="324">
        <v>0</v>
      </c>
      <c r="J5" s="326"/>
      <c r="K5" s="328">
        <v>98</v>
      </c>
      <c r="L5" s="331" t="str">
        <v>closed</v>
      </c>
      <c r="M5" s="334">
        <v>77</v>
      </c>
      <c r="N5" s="326"/>
      <c r="O5" s="338">
        <v>103</v>
      </c>
    </row>
    <row r="6" spans="1:15" x14ac:dyDescent="0.25">
      <c r="A6" s="340">
        <f t="shared" si="0"/>
        <v>44686</v>
      </c>
      <c r="B6" s="355" t="str">
        <f>TEXT(A6,"DDD")</f>
        <v>Thu</v>
      </c>
      <c r="C6" s="321">
        <v>939.2</v>
      </c>
      <c r="D6" s="321">
        <v>0</v>
      </c>
      <c r="E6" s="321">
        <v>10</v>
      </c>
      <c r="F6" s="321">
        <v>108.07</v>
      </c>
      <c r="G6" s="321">
        <v>0</v>
      </c>
      <c r="H6" s="321">
        <v>137.5</v>
      </c>
      <c r="I6" s="324">
        <v>0</v>
      </c>
      <c r="J6" s="326"/>
      <c r="K6" s="328">
        <v>98</v>
      </c>
      <c r="L6" s="331">
        <v>90</v>
      </c>
      <c r="M6" s="334">
        <v>80</v>
      </c>
      <c r="N6" s="326"/>
      <c r="O6" s="338">
        <v>151</v>
      </c>
    </row>
    <row r="7" spans="1:15" x14ac:dyDescent="0.25">
      <c r="A7" s="340">
        <f t="shared" si="0"/>
        <v>44687</v>
      </c>
      <c r="B7" s="355" t="str">
        <f>TEXT(A7,"ddd")</f>
        <v>Fri</v>
      </c>
      <c r="C7" s="321">
        <v>1675.2</v>
      </c>
      <c r="D7" s="321">
        <v>0</v>
      </c>
      <c r="E7" s="321">
        <v>19</v>
      </c>
      <c r="F7" s="321">
        <v>208.6</v>
      </c>
      <c r="G7" s="321">
        <v>0</v>
      </c>
      <c r="H7" s="321">
        <v>165</v>
      </c>
      <c r="I7" s="324">
        <v>0</v>
      </c>
      <c r="J7" s="326"/>
      <c r="K7" s="328">
        <v>98</v>
      </c>
      <c r="L7" s="331" t="str">
        <v>closed</v>
      </c>
      <c r="M7" s="334">
        <v>84</v>
      </c>
      <c r="N7" s="326"/>
      <c r="O7" s="338">
        <v>214</v>
      </c>
    </row>
    <row r="8" spans="1:15" x14ac:dyDescent="0.25">
      <c r="A8" s="340">
        <f t="shared" si="0"/>
        <v>44688</v>
      </c>
      <c r="B8" s="355" t="str">
        <f>TEXT(A8,"DDD")</f>
        <v>Sat</v>
      </c>
      <c r="C8" s="321">
        <v>5612.4</v>
      </c>
      <c r="D8" s="321">
        <v>0</v>
      </c>
      <c r="E8" s="321">
        <v>0</v>
      </c>
      <c r="F8" s="321">
        <v>470.5</v>
      </c>
      <c r="G8" s="321">
        <v>0</v>
      </c>
      <c r="H8" s="321">
        <v>52.5</v>
      </c>
      <c r="I8" s="324">
        <v>0</v>
      </c>
      <c r="J8" s="326"/>
      <c r="K8" s="328">
        <v>98</v>
      </c>
      <c r="L8" s="331">
        <v>89</v>
      </c>
      <c r="M8" s="334">
        <v>85</v>
      </c>
      <c r="N8" s="326"/>
      <c r="O8" s="338">
        <v>464</v>
      </c>
    </row>
    <row r="9" spans="1:15" x14ac:dyDescent="0.25">
      <c r="A9" s="340">
        <f t="shared" si="0"/>
        <v>44689</v>
      </c>
      <c r="B9" s="355" t="str">
        <f>TEXT(A9,"ddd")</f>
        <v>Sun</v>
      </c>
      <c r="C9" s="321">
        <v>3467.6</v>
      </c>
      <c r="D9" s="321">
        <v>0</v>
      </c>
      <c r="E9" s="321">
        <v>4</v>
      </c>
      <c r="F9" s="321">
        <v>537.83000000000004</v>
      </c>
      <c r="G9" s="321">
        <v>0</v>
      </c>
      <c r="H9" s="321">
        <v>0</v>
      </c>
      <c r="I9" s="324">
        <v>0</v>
      </c>
      <c r="J9" s="326"/>
      <c r="K9" s="328">
        <v>98</v>
      </c>
      <c r="L9" s="331">
        <v>87</v>
      </c>
      <c r="M9" s="335">
        <v>83</v>
      </c>
      <c r="N9" s="326"/>
      <c r="O9" s="338">
        <v>326</v>
      </c>
    </row>
    <row r="10" spans="1:15" x14ac:dyDescent="0.25">
      <c r="A10" s="340">
        <f t="shared" si="0"/>
        <v>44690</v>
      </c>
      <c r="B10" s="355" t="str">
        <f>TEXT(A10,"DDD")</f>
        <v>Mon</v>
      </c>
      <c r="C10" s="321">
        <v>517</v>
      </c>
      <c r="D10" s="321">
        <v>0</v>
      </c>
      <c r="E10" s="321">
        <v>44</v>
      </c>
      <c r="F10" s="321">
        <v>58.06</v>
      </c>
      <c r="G10" s="321">
        <v>0</v>
      </c>
      <c r="H10" s="321">
        <v>135</v>
      </c>
      <c r="I10" s="324">
        <v>0</v>
      </c>
      <c r="J10" s="326"/>
      <c r="K10" s="328">
        <v>0</v>
      </c>
      <c r="L10" s="331">
        <v>0</v>
      </c>
      <c r="M10" s="334">
        <v>0</v>
      </c>
      <c r="N10" s="326"/>
      <c r="O10" s="338">
        <v>84</v>
      </c>
    </row>
    <row r="11" spans="1:15" x14ac:dyDescent="0.25">
      <c r="A11" s="340">
        <f t="shared" si="0"/>
        <v>44691</v>
      </c>
      <c r="B11" s="355" t="str">
        <f>TEXT(A11,"ddd")</f>
        <v>Tue</v>
      </c>
      <c r="C11" s="321">
        <v>0</v>
      </c>
      <c r="D11" s="321">
        <v>0</v>
      </c>
      <c r="E11" s="321">
        <v>0</v>
      </c>
      <c r="F11" s="321">
        <v>0</v>
      </c>
      <c r="G11" s="321">
        <v>0</v>
      </c>
      <c r="H11" s="321">
        <v>0</v>
      </c>
      <c r="I11" s="324">
        <v>0</v>
      </c>
      <c r="J11" s="326"/>
      <c r="K11" s="328">
        <v>0</v>
      </c>
      <c r="L11" s="331">
        <v>0</v>
      </c>
      <c r="M11" s="334">
        <v>0</v>
      </c>
      <c r="N11" s="326"/>
      <c r="O11" s="338">
        <v>0</v>
      </c>
    </row>
    <row r="12" spans="1:15" x14ac:dyDescent="0.25">
      <c r="A12" s="340">
        <f t="shared" si="0"/>
        <v>44692</v>
      </c>
      <c r="B12" s="355" t="str">
        <f>TEXT(A12,"DDD")</f>
        <v>Wed</v>
      </c>
      <c r="C12" s="321">
        <v>1626</v>
      </c>
      <c r="D12" s="321">
        <v>0</v>
      </c>
      <c r="E12" s="321">
        <v>8</v>
      </c>
      <c r="F12" s="321">
        <v>148.79</v>
      </c>
      <c r="G12" s="321">
        <v>0</v>
      </c>
      <c r="H12" s="321">
        <v>0</v>
      </c>
      <c r="I12" s="324">
        <v>0</v>
      </c>
      <c r="J12" s="326"/>
      <c r="K12" s="328">
        <v>0</v>
      </c>
      <c r="L12" s="331">
        <v>0</v>
      </c>
      <c r="M12" s="334">
        <v>0</v>
      </c>
      <c r="N12" s="326"/>
      <c r="O12" s="338">
        <v>179</v>
      </c>
    </row>
    <row r="13" spans="1:15" x14ac:dyDescent="0.25">
      <c r="A13" s="340">
        <f t="shared" si="0"/>
        <v>44693</v>
      </c>
      <c r="B13" s="355" t="str">
        <f>TEXT(A13,"ddd")</f>
        <v>Thu</v>
      </c>
      <c r="C13" s="321">
        <v>1032.8</v>
      </c>
      <c r="D13" s="321">
        <v>0</v>
      </c>
      <c r="E13" s="321">
        <v>20</v>
      </c>
      <c r="F13" s="321">
        <v>74.06</v>
      </c>
      <c r="G13" s="321">
        <v>0</v>
      </c>
      <c r="H13" s="321">
        <v>0</v>
      </c>
      <c r="I13" s="324">
        <v>0</v>
      </c>
      <c r="J13" s="326"/>
      <c r="K13" s="328" t="str">
        <v>closed</v>
      </c>
      <c r="L13" s="331" t="str">
        <v>closed</v>
      </c>
      <c r="M13" s="334">
        <v>80</v>
      </c>
      <c r="N13" s="326"/>
      <c r="O13" s="338">
        <v>154</v>
      </c>
    </row>
    <row r="14" spans="1:15" x14ac:dyDescent="0.25">
      <c r="A14" s="340">
        <f t="shared" si="0"/>
        <v>44694</v>
      </c>
      <c r="B14" s="355" t="str">
        <f>TEXT(A14,"DDD")</f>
        <v>Fri</v>
      </c>
      <c r="C14" s="321">
        <v>2938.8</v>
      </c>
      <c r="D14" s="321">
        <v>0</v>
      </c>
      <c r="E14" s="321">
        <v>32</v>
      </c>
      <c r="F14" s="321">
        <v>380.98</v>
      </c>
      <c r="G14" s="321">
        <v>0</v>
      </c>
      <c r="H14" s="321">
        <v>80</v>
      </c>
      <c r="I14" s="324">
        <v>0</v>
      </c>
      <c r="J14" s="326"/>
      <c r="K14" s="328">
        <v>0</v>
      </c>
      <c r="L14" s="331">
        <v>0</v>
      </c>
      <c r="M14" s="334">
        <v>0</v>
      </c>
      <c r="N14" s="326"/>
      <c r="O14" s="338">
        <v>293</v>
      </c>
    </row>
    <row r="15" spans="1:15" x14ac:dyDescent="0.25">
      <c r="A15" s="340">
        <f t="shared" si="0"/>
        <v>44695</v>
      </c>
      <c r="B15" s="355" t="str">
        <f>TEXT(A15,"ddd")</f>
        <v>Sat</v>
      </c>
      <c r="C15" s="321">
        <v>5480.4</v>
      </c>
      <c r="D15" s="321">
        <v>0</v>
      </c>
      <c r="E15" s="321">
        <v>0</v>
      </c>
      <c r="F15" s="321">
        <v>550.39</v>
      </c>
      <c r="G15" s="321">
        <v>0</v>
      </c>
      <c r="H15" s="321">
        <v>82.5</v>
      </c>
      <c r="I15" s="324">
        <v>0</v>
      </c>
      <c r="J15" s="326"/>
      <c r="K15" s="328">
        <v>98</v>
      </c>
      <c r="L15" s="331">
        <v>92</v>
      </c>
      <c r="M15" s="334">
        <v>81</v>
      </c>
      <c r="N15" s="326"/>
      <c r="O15" s="338">
        <v>439</v>
      </c>
    </row>
    <row r="16" spans="1:15" x14ac:dyDescent="0.25">
      <c r="A16" s="340">
        <f t="shared" si="0"/>
        <v>44696</v>
      </c>
      <c r="B16" s="355" t="str">
        <f>TEXT(A16,"DDD")</f>
        <v>Sun</v>
      </c>
      <c r="C16" s="321">
        <v>5078.3999999999996</v>
      </c>
      <c r="D16" s="321">
        <v>0</v>
      </c>
      <c r="E16" s="321">
        <v>20</v>
      </c>
      <c r="F16" s="321">
        <v>492.03</v>
      </c>
      <c r="G16" s="321">
        <v>0</v>
      </c>
      <c r="H16" s="321">
        <v>97.5</v>
      </c>
      <c r="I16" s="324">
        <v>0</v>
      </c>
      <c r="J16" s="326"/>
      <c r="K16" s="328">
        <v>98</v>
      </c>
      <c r="L16" s="331">
        <v>95</v>
      </c>
      <c r="M16" s="334">
        <v>85</v>
      </c>
      <c r="N16" s="326"/>
      <c r="O16" s="338">
        <v>498</v>
      </c>
    </row>
    <row r="17" spans="1:15" x14ac:dyDescent="0.25">
      <c r="A17" s="340">
        <f t="shared" si="0"/>
        <v>44697</v>
      </c>
      <c r="B17" s="355" t="str">
        <f>TEXT(A17,"ddd")</f>
        <v>Mon</v>
      </c>
      <c r="C17" s="321">
        <v>1739.2</v>
      </c>
      <c r="D17" s="321">
        <v>0</v>
      </c>
      <c r="E17" s="321">
        <v>4</v>
      </c>
      <c r="F17" s="321">
        <v>106.13</v>
      </c>
      <c r="G17" s="321">
        <v>0</v>
      </c>
      <c r="H17" s="321">
        <v>295</v>
      </c>
      <c r="I17" s="324">
        <v>0</v>
      </c>
      <c r="J17" s="326"/>
      <c r="K17" s="328">
        <v>97</v>
      </c>
      <c r="L17" s="331" t="str">
        <v>closed</v>
      </c>
      <c r="M17" s="334">
        <v>85</v>
      </c>
      <c r="N17" s="326"/>
      <c r="O17" s="338">
        <v>169</v>
      </c>
    </row>
    <row r="18" spans="1:15" x14ac:dyDescent="0.25">
      <c r="A18" s="340">
        <f t="shared" si="0"/>
        <v>44698</v>
      </c>
      <c r="B18" s="355" t="str">
        <f>TEXT(A18,"DDD")</f>
        <v>Tue</v>
      </c>
      <c r="C18" s="321">
        <v>0</v>
      </c>
      <c r="D18" s="321">
        <v>0</v>
      </c>
      <c r="E18" s="321">
        <v>0</v>
      </c>
      <c r="F18" s="321">
        <v>0</v>
      </c>
      <c r="G18" s="321">
        <v>0</v>
      </c>
      <c r="H18" s="321">
        <v>0</v>
      </c>
      <c r="I18" s="324">
        <v>0</v>
      </c>
      <c r="J18" s="326"/>
      <c r="K18" s="328">
        <v>0</v>
      </c>
      <c r="L18" s="331">
        <v>0</v>
      </c>
      <c r="M18" s="334">
        <v>0</v>
      </c>
      <c r="N18" s="326"/>
      <c r="O18" s="338">
        <v>0</v>
      </c>
    </row>
    <row r="19" spans="1:15" x14ac:dyDescent="0.25">
      <c r="A19" s="340">
        <f t="shared" si="0"/>
        <v>44699</v>
      </c>
      <c r="B19" s="355" t="str">
        <f>TEXT(A19,"ddd")</f>
        <v>Wed</v>
      </c>
      <c r="C19" s="321">
        <v>2076.4</v>
      </c>
      <c r="D19" s="321">
        <v>0</v>
      </c>
      <c r="E19" s="321">
        <v>4</v>
      </c>
      <c r="F19" s="321">
        <v>159.41999999999999</v>
      </c>
      <c r="G19" s="321">
        <v>0</v>
      </c>
      <c r="H19" s="321">
        <v>32</v>
      </c>
      <c r="I19" s="324">
        <v>0</v>
      </c>
      <c r="J19" s="326"/>
      <c r="K19" s="328">
        <v>0</v>
      </c>
      <c r="L19" s="331">
        <v>0</v>
      </c>
      <c r="M19" s="334">
        <v>0</v>
      </c>
      <c r="N19" s="326"/>
      <c r="O19" s="338">
        <v>212</v>
      </c>
    </row>
    <row r="20" spans="1:15" x14ac:dyDescent="0.25">
      <c r="A20" s="340">
        <f t="shared" si="0"/>
        <v>44700</v>
      </c>
      <c r="B20" s="355" t="str">
        <f>TEXT(A20,"DDD")</f>
        <v>Thu</v>
      </c>
      <c r="C20" s="321">
        <v>1958.8</v>
      </c>
      <c r="D20" s="321">
        <v>0</v>
      </c>
      <c r="E20" s="321">
        <v>12</v>
      </c>
      <c r="F20" s="321">
        <v>139.16999999999999</v>
      </c>
      <c r="G20" s="321">
        <v>0</v>
      </c>
      <c r="H20" s="321">
        <v>16</v>
      </c>
      <c r="I20" s="324">
        <v>0</v>
      </c>
      <c r="J20" s="326"/>
      <c r="K20" s="328">
        <v>0</v>
      </c>
      <c r="L20" s="331">
        <v>0</v>
      </c>
      <c r="M20" s="334">
        <v>0</v>
      </c>
      <c r="N20" s="326"/>
      <c r="O20" s="338">
        <v>183</v>
      </c>
    </row>
    <row r="21" spans="1:15" x14ac:dyDescent="0.25">
      <c r="A21" s="340">
        <f t="shared" si="0"/>
        <v>44701</v>
      </c>
      <c r="B21" s="355" t="str">
        <f>TEXT(A21,"ddd")</f>
        <v>Fri</v>
      </c>
      <c r="C21" s="321">
        <v>3153.2000000000003</v>
      </c>
      <c r="D21" s="321">
        <v>0</v>
      </c>
      <c r="E21" s="321">
        <v>0</v>
      </c>
      <c r="F21" s="321">
        <v>213.51</v>
      </c>
      <c r="G21" s="321">
        <v>0</v>
      </c>
      <c r="H21" s="321">
        <v>115</v>
      </c>
      <c r="I21" s="324">
        <v>0</v>
      </c>
      <c r="J21" s="326"/>
      <c r="K21" s="328">
        <v>97</v>
      </c>
      <c r="L21" s="331" t="str">
        <v>closed</v>
      </c>
      <c r="M21" s="334">
        <v>84</v>
      </c>
      <c r="N21" s="326"/>
      <c r="O21" s="338">
        <v>270</v>
      </c>
    </row>
    <row r="22" spans="1:15" x14ac:dyDescent="0.25">
      <c r="A22" s="340">
        <f t="shared" si="0"/>
        <v>44702</v>
      </c>
      <c r="B22" s="355" t="str">
        <f>TEXT(A22,"DDD")</f>
        <v>Sat</v>
      </c>
      <c r="C22" s="321">
        <v>4733.2</v>
      </c>
      <c r="D22" s="321">
        <v>0</v>
      </c>
      <c r="E22" s="321">
        <v>8</v>
      </c>
      <c r="F22" s="321">
        <v>393.3</v>
      </c>
      <c r="G22" s="321">
        <v>0</v>
      </c>
      <c r="H22" s="321">
        <v>173.5</v>
      </c>
      <c r="I22" s="324">
        <v>0</v>
      </c>
      <c r="J22" s="326"/>
      <c r="K22" s="328">
        <v>98</v>
      </c>
      <c r="L22" s="331">
        <v>88</v>
      </c>
      <c r="M22" s="334">
        <v>81</v>
      </c>
      <c r="N22" s="326"/>
      <c r="O22" s="338">
        <v>421</v>
      </c>
    </row>
    <row r="23" spans="1:15" x14ac:dyDescent="0.25">
      <c r="A23" s="340">
        <f t="shared" si="0"/>
        <v>44703</v>
      </c>
      <c r="B23" s="355" t="str">
        <f>TEXT(A23,"ddd")</f>
        <v>Sun</v>
      </c>
      <c r="C23" s="321">
        <v>4517.2</v>
      </c>
      <c r="D23" s="321">
        <v>0</v>
      </c>
      <c r="E23" s="321">
        <v>16</v>
      </c>
      <c r="F23" s="321">
        <v>531.94000000000005</v>
      </c>
      <c r="G23" s="321">
        <v>0</v>
      </c>
      <c r="H23" s="321">
        <v>142</v>
      </c>
      <c r="I23" s="324">
        <v>0</v>
      </c>
      <c r="J23" s="326"/>
      <c r="K23" s="328">
        <v>98</v>
      </c>
      <c r="L23" s="331">
        <v>91</v>
      </c>
      <c r="M23" s="334">
        <v>83</v>
      </c>
      <c r="N23" s="326"/>
      <c r="O23" s="338">
        <v>436</v>
      </c>
    </row>
    <row r="24" spans="1:15" x14ac:dyDescent="0.25">
      <c r="A24" s="340">
        <f t="shared" si="0"/>
        <v>44704</v>
      </c>
      <c r="B24" s="355" t="str">
        <f>TEXT(A24,"DDD")</f>
        <v>Mon</v>
      </c>
      <c r="C24" s="321">
        <v>2264.8000000000002</v>
      </c>
      <c r="D24" s="321">
        <v>0</v>
      </c>
      <c r="E24" s="321">
        <v>12</v>
      </c>
      <c r="F24" s="321">
        <v>162.41</v>
      </c>
      <c r="G24" s="321">
        <v>0</v>
      </c>
      <c r="H24" s="321">
        <v>0</v>
      </c>
      <c r="I24" s="324">
        <v>0</v>
      </c>
      <c r="J24" s="326"/>
      <c r="K24" s="328">
        <v>98</v>
      </c>
      <c r="L24" s="331">
        <v>92</v>
      </c>
      <c r="M24" s="334">
        <v>83</v>
      </c>
      <c r="N24" s="326"/>
      <c r="O24" s="338">
        <v>233</v>
      </c>
    </row>
    <row r="25" spans="1:15" x14ac:dyDescent="0.25">
      <c r="A25" s="340">
        <f t="shared" si="0"/>
        <v>44705</v>
      </c>
      <c r="B25" s="355" t="str">
        <f>TEXT(A25,"ddd")</f>
        <v>Tue</v>
      </c>
      <c r="C25" s="321">
        <v>2520</v>
      </c>
      <c r="D25" s="321">
        <v>0</v>
      </c>
      <c r="E25" s="321">
        <v>100</v>
      </c>
      <c r="F25" s="321">
        <v>215.08</v>
      </c>
      <c r="G25" s="321">
        <v>0</v>
      </c>
      <c r="H25" s="321">
        <v>84.5</v>
      </c>
      <c r="I25" s="324">
        <v>0</v>
      </c>
      <c r="J25" s="326"/>
      <c r="K25" s="328">
        <v>105</v>
      </c>
      <c r="L25" s="331">
        <v>93</v>
      </c>
      <c r="M25" s="334">
        <v>80</v>
      </c>
      <c r="N25" s="326"/>
      <c r="O25" s="338">
        <v>249</v>
      </c>
    </row>
    <row r="26" spans="1:15" x14ac:dyDescent="0.25">
      <c r="A26" s="340">
        <f t="shared" si="0"/>
        <v>44706</v>
      </c>
      <c r="B26" s="355" t="str">
        <f>TEXT(A26,"DDD")</f>
        <v>Wed</v>
      </c>
      <c r="C26" s="321">
        <v>3391.6000000000004</v>
      </c>
      <c r="D26" s="321">
        <v>0</v>
      </c>
      <c r="E26" s="321">
        <v>4</v>
      </c>
      <c r="F26" s="321">
        <v>403.65</v>
      </c>
      <c r="G26" s="321">
        <v>0</v>
      </c>
      <c r="H26" s="321">
        <v>608</v>
      </c>
      <c r="I26" s="324">
        <v>0</v>
      </c>
      <c r="J26" s="326"/>
      <c r="K26" s="328">
        <v>99</v>
      </c>
      <c r="L26" s="331">
        <v>86</v>
      </c>
      <c r="M26" s="334">
        <v>79</v>
      </c>
      <c r="N26" s="326"/>
      <c r="O26" s="338">
        <v>327</v>
      </c>
    </row>
    <row r="27" spans="1:15" x14ac:dyDescent="0.25">
      <c r="A27" s="340">
        <f t="shared" si="0"/>
        <v>44707</v>
      </c>
      <c r="B27" s="355" t="str">
        <f>TEXT(A27,"ddd")</f>
        <v>Thu</v>
      </c>
      <c r="C27" s="321">
        <v>3108.4</v>
      </c>
      <c r="D27" s="321">
        <v>0</v>
      </c>
      <c r="E27" s="321">
        <v>12</v>
      </c>
      <c r="F27" s="321">
        <v>195.14</v>
      </c>
      <c r="G27" s="321">
        <v>0</v>
      </c>
      <c r="H27" s="321">
        <v>75</v>
      </c>
      <c r="I27" s="324">
        <v>0</v>
      </c>
      <c r="J27" s="326"/>
      <c r="K27" s="328">
        <v>99</v>
      </c>
      <c r="L27" s="331">
        <v>92</v>
      </c>
      <c r="M27" s="334">
        <v>85</v>
      </c>
      <c r="N27" s="326"/>
      <c r="O27" s="338">
        <v>310</v>
      </c>
    </row>
    <row r="28" spans="1:15" x14ac:dyDescent="0.25">
      <c r="A28" s="340">
        <f t="shared" si="0"/>
        <v>44708</v>
      </c>
      <c r="B28" s="355" t="str">
        <f>TEXT(A28,"DDD")</f>
        <v>Fri</v>
      </c>
      <c r="C28" s="321">
        <v>4365.6000000000004</v>
      </c>
      <c r="D28" s="321">
        <v>0</v>
      </c>
      <c r="E28" s="321">
        <v>0</v>
      </c>
      <c r="F28" s="321">
        <v>503.25</v>
      </c>
      <c r="G28" s="321">
        <v>0</v>
      </c>
      <c r="H28" s="321">
        <v>0</v>
      </c>
      <c r="I28" s="324">
        <v>0</v>
      </c>
      <c r="J28" s="326"/>
      <c r="K28" s="328">
        <v>98</v>
      </c>
      <c r="L28" s="331">
        <v>94</v>
      </c>
      <c r="M28" s="334">
        <v>85</v>
      </c>
      <c r="N28" s="326"/>
      <c r="O28" s="338">
        <v>447</v>
      </c>
    </row>
    <row r="29" spans="1:15" x14ac:dyDescent="0.25">
      <c r="A29" s="340">
        <f t="shared" si="0"/>
        <v>44709</v>
      </c>
      <c r="B29" s="355" t="str">
        <f>TEXT(A29,"ddd")</f>
        <v>Sat</v>
      </c>
      <c r="C29" s="321">
        <v>11526.4</v>
      </c>
      <c r="D29" s="321">
        <v>487.8</v>
      </c>
      <c r="E29" s="321">
        <v>12</v>
      </c>
      <c r="F29" s="321">
        <v>863.61</v>
      </c>
      <c r="G29" s="321">
        <v>0</v>
      </c>
      <c r="H29" s="321">
        <v>110</v>
      </c>
      <c r="I29" s="324">
        <v>0</v>
      </c>
      <c r="J29" s="326"/>
      <c r="K29" s="328">
        <v>98</v>
      </c>
      <c r="L29" s="331">
        <v>91</v>
      </c>
      <c r="M29" s="334">
        <v>85</v>
      </c>
      <c r="N29" s="326"/>
      <c r="O29" s="338">
        <v>934</v>
      </c>
    </row>
    <row r="30" spans="1:15" x14ac:dyDescent="0.25">
      <c r="A30" s="340">
        <f t="shared" si="0"/>
        <v>44710</v>
      </c>
      <c r="B30" s="355" t="str">
        <f>TEXT(A30,"ddd")</f>
        <v>Sun</v>
      </c>
      <c r="C30" s="321">
        <v>12779.6</v>
      </c>
      <c r="D30" s="321">
        <v>378.6</v>
      </c>
      <c r="E30" s="321">
        <v>8</v>
      </c>
      <c r="F30" s="321">
        <v>983.67</v>
      </c>
      <c r="G30" s="321">
        <v>0</v>
      </c>
      <c r="H30" s="321">
        <v>78.5</v>
      </c>
      <c r="I30" s="324">
        <v>0</v>
      </c>
      <c r="J30" s="326"/>
      <c r="K30" s="328">
        <v>98</v>
      </c>
      <c r="L30" s="331">
        <v>88</v>
      </c>
      <c r="M30" s="334">
        <v>84</v>
      </c>
      <c r="N30" s="326"/>
      <c r="O30" s="338">
        <v>990</v>
      </c>
    </row>
    <row r="31" spans="1:15" x14ac:dyDescent="0.25">
      <c r="A31" s="340">
        <f t="shared" si="0"/>
        <v>44711</v>
      </c>
      <c r="B31" s="355" t="str">
        <f>TEXT(A31,"ddd")</f>
        <v>Mon</v>
      </c>
      <c r="C31" s="321">
        <v>7064</v>
      </c>
      <c r="D31" s="321">
        <v>293.39999999999998</v>
      </c>
      <c r="E31" s="321">
        <v>12</v>
      </c>
      <c r="F31" s="321">
        <v>503.43</v>
      </c>
      <c r="G31" s="321">
        <v>0</v>
      </c>
      <c r="H31" s="321">
        <v>0</v>
      </c>
      <c r="I31" s="324">
        <v>0</v>
      </c>
      <c r="J31" s="326"/>
      <c r="K31" s="328">
        <v>98</v>
      </c>
      <c r="L31" s="331">
        <v>86</v>
      </c>
      <c r="M31" s="334">
        <v>80</v>
      </c>
      <c r="N31" s="326"/>
      <c r="O31" s="338">
        <v>650</v>
      </c>
    </row>
    <row r="32" spans="1:15" ht="15.75" thickBot="1" x14ac:dyDescent="0.3">
      <c r="A32" s="341">
        <f t="shared" si="0"/>
        <v>44712</v>
      </c>
      <c r="B32" s="356" t="str">
        <f>TEXT(A32,"ddd")</f>
        <v>Tue</v>
      </c>
      <c r="C32" s="322">
        <v>4978.3999999999996</v>
      </c>
      <c r="D32" s="322">
        <v>261.60000000000002</v>
      </c>
      <c r="E32" s="322">
        <v>8</v>
      </c>
      <c r="F32" s="322">
        <v>302.27</v>
      </c>
      <c r="G32" s="322">
        <v>0</v>
      </c>
      <c r="H32" s="322">
        <v>16</v>
      </c>
      <c r="I32" s="325">
        <v>0</v>
      </c>
      <c r="J32" s="326"/>
      <c r="K32" s="329">
        <v>104</v>
      </c>
      <c r="L32" s="332">
        <v>91</v>
      </c>
      <c r="M32" s="336">
        <v>80</v>
      </c>
      <c r="N32" s="326"/>
      <c r="O32" s="339">
        <v>437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2" t="s">
        <v>77</v>
      </c>
      <c r="B34" s="343"/>
      <c r="C34" s="344">
        <f t="shared" ref="C34:I34" si="1">SUM(C2:C33)</f>
        <v>103712.99999999999</v>
      </c>
      <c r="D34" s="344">
        <f t="shared" si="1"/>
        <v>1421.4</v>
      </c>
      <c r="E34" s="344">
        <f t="shared" si="1"/>
        <v>417</v>
      </c>
      <c r="F34" s="344">
        <f t="shared" si="1"/>
        <v>9067.4600000000009</v>
      </c>
      <c r="G34" s="344">
        <f t="shared" si="1"/>
        <v>0</v>
      </c>
      <c r="H34" s="344">
        <f t="shared" si="1"/>
        <v>3340.5</v>
      </c>
      <c r="I34" s="345">
        <f t="shared" si="1"/>
        <v>0</v>
      </c>
      <c r="J34" s="60"/>
      <c r="K34" s="346">
        <f>Pool!AJ57</f>
        <v>98.61904761904762</v>
      </c>
      <c r="L34" s="347">
        <f>Pool!AJ58</f>
        <v>90.3125</v>
      </c>
      <c r="M34" s="348">
        <f>Pool!AJ59</f>
        <v>82.227272727272734</v>
      </c>
      <c r="N34" s="102"/>
      <c r="O34" s="349">
        <f>SUM(O2:O33)</f>
        <v>9549</v>
      </c>
    </row>
    <row r="37" spans="1:15" x14ac:dyDescent="0.25">
      <c r="A37" s="350" t="s">
        <v>150</v>
      </c>
      <c r="B37" s="350"/>
      <c r="C37" s="350"/>
      <c r="D37" s="350"/>
      <c r="E37" s="350"/>
    </row>
    <row r="38" spans="1:15" x14ac:dyDescent="0.25">
      <c r="A38" s="350"/>
      <c r="B38" s="350"/>
      <c r="C38" s="350" t="s">
        <v>151</v>
      </c>
      <c r="D38" s="350">
        <v>100</v>
      </c>
      <c r="E38" s="350"/>
    </row>
    <row r="39" spans="1:15" x14ac:dyDescent="0.25">
      <c r="A39" s="350"/>
      <c r="B39" s="351" t="s">
        <v>152</v>
      </c>
      <c r="C39" s="351" t="s">
        <v>153</v>
      </c>
      <c r="D39" s="351">
        <v>-10</v>
      </c>
      <c r="E39" s="350"/>
    </row>
    <row r="40" spans="1:15" x14ac:dyDescent="0.25">
      <c r="A40" s="350"/>
      <c r="B40" s="350"/>
      <c r="C40" s="350"/>
      <c r="D40" s="350">
        <v>90</v>
      </c>
      <c r="E40" s="350"/>
    </row>
    <row r="41" spans="1:15" x14ac:dyDescent="0.25">
      <c r="A41" s="350"/>
      <c r="B41" s="352" t="s">
        <v>154</v>
      </c>
      <c r="C41" s="352" t="s">
        <v>58</v>
      </c>
      <c r="D41" s="352">
        <v>20</v>
      </c>
      <c r="E41" s="350"/>
    </row>
    <row r="42" spans="1:15" x14ac:dyDescent="0.25">
      <c r="A42" s="350"/>
      <c r="B42" s="350"/>
      <c r="C42" s="350"/>
      <c r="D42" s="353">
        <v>110</v>
      </c>
      <c r="E42" s="353" t="s">
        <v>109</v>
      </c>
    </row>
  </sheetData>
  <sheetProtection algorithmName="SHA-512" hashValue="vnxNOtIxFBZQ0LhpRKyJHPfWXkepAgzMN3NB/Bg5mo6m9B6Ulh/XLsht3/8IOWIw/F6O2VC34AoDCKGjn3XT4g==" saltValue="ZnNbsC5pAzH44CEqdoOZw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Y37" sqref="Y37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40" width="11.5703125" style="59" bestFit="1" customWidth="1"/>
    <col min="41" max="16384" width="9.140625" style="59"/>
  </cols>
  <sheetData>
    <row r="1" spans="1:37" ht="15.75" thickBot="1" x14ac:dyDescent="0.3">
      <c r="A1" s="168" t="s">
        <v>120</v>
      </c>
      <c r="B1" s="284" t="str">
        <f>'Cash Flow'!C1</f>
        <v>May</v>
      </c>
      <c r="C1" s="228" t="str">
        <f t="array" ref="C1:AG1">TRANSPOSE('Cash Flow'!B8:B38)</f>
        <v>Sun</v>
      </c>
      <c r="D1" s="228" t="str">
        <v>Mon</v>
      </c>
      <c r="E1" s="228" t="str">
        <v>Tue</v>
      </c>
      <c r="F1" s="228" t="str">
        <v>Wed</v>
      </c>
      <c r="G1" s="228" t="str">
        <v>Thu</v>
      </c>
      <c r="H1" s="228" t="str">
        <v>Fri</v>
      </c>
      <c r="I1" s="228" t="str">
        <v>Sat</v>
      </c>
      <c r="J1" s="228" t="str">
        <v>Sun</v>
      </c>
      <c r="K1" s="228" t="str">
        <v>Mon</v>
      </c>
      <c r="L1" s="228" t="str">
        <v>Tue</v>
      </c>
      <c r="M1" s="228" t="str">
        <v>Wed</v>
      </c>
      <c r="N1" s="228" t="str">
        <v>Thu</v>
      </c>
      <c r="O1" s="228" t="str">
        <v>Fri</v>
      </c>
      <c r="P1" s="228" t="str">
        <v>Sat</v>
      </c>
      <c r="Q1" s="228" t="str">
        <v>Sun</v>
      </c>
      <c r="R1" s="228" t="str">
        <v>Mon</v>
      </c>
      <c r="S1" s="228" t="str">
        <v>Tue</v>
      </c>
      <c r="T1" s="228" t="str">
        <v>Wed</v>
      </c>
      <c r="U1" s="228" t="str">
        <v>Thu</v>
      </c>
      <c r="V1" s="228" t="str">
        <v>Fri</v>
      </c>
      <c r="W1" s="228" t="str">
        <v>Sat</v>
      </c>
      <c r="X1" s="228" t="str">
        <v>Sun</v>
      </c>
      <c r="Y1" s="228" t="str">
        <v>Mon</v>
      </c>
      <c r="Z1" s="228" t="str">
        <v>Tue</v>
      </c>
      <c r="AA1" s="228" t="str">
        <v>Wed</v>
      </c>
      <c r="AB1" s="228" t="str">
        <v>Thu</v>
      </c>
      <c r="AC1" s="228" t="str">
        <v>Fri</v>
      </c>
      <c r="AD1" s="228" t="str">
        <v>Sat</v>
      </c>
      <c r="AE1" s="228" t="str">
        <v>Sun</v>
      </c>
      <c r="AF1" s="228" t="str">
        <v>Mon</v>
      </c>
      <c r="AG1" s="228" t="str">
        <v>Tue</v>
      </c>
    </row>
    <row r="2" spans="1:37" ht="16.5" thickBot="1" x14ac:dyDescent="0.3">
      <c r="A2" s="117" t="s">
        <v>67</v>
      </c>
      <c r="B2" s="118" t="s">
        <v>133</v>
      </c>
      <c r="C2" s="106">
        <f>'Cash Flow'!A8</f>
        <v>44682</v>
      </c>
      <c r="D2" s="106">
        <f t="shared" ref="D2:AG2" si="0">C2+1</f>
        <v>44683</v>
      </c>
      <c r="E2" s="106">
        <f t="shared" si="0"/>
        <v>44684</v>
      </c>
      <c r="F2" s="106">
        <f t="shared" si="0"/>
        <v>44685</v>
      </c>
      <c r="G2" s="106">
        <f t="shared" si="0"/>
        <v>44686</v>
      </c>
      <c r="H2" s="106">
        <f t="shared" si="0"/>
        <v>44687</v>
      </c>
      <c r="I2" s="106">
        <f t="shared" si="0"/>
        <v>44688</v>
      </c>
      <c r="J2" s="106">
        <f t="shared" si="0"/>
        <v>44689</v>
      </c>
      <c r="K2" s="106">
        <f t="shared" si="0"/>
        <v>44690</v>
      </c>
      <c r="L2" s="106">
        <f t="shared" si="0"/>
        <v>44691</v>
      </c>
      <c r="M2" s="106">
        <f t="shared" si="0"/>
        <v>44692</v>
      </c>
      <c r="N2" s="106">
        <f t="shared" si="0"/>
        <v>44693</v>
      </c>
      <c r="O2" s="106">
        <f t="shared" si="0"/>
        <v>44694</v>
      </c>
      <c r="P2" s="106">
        <f t="shared" si="0"/>
        <v>44695</v>
      </c>
      <c r="Q2" s="106">
        <f t="shared" si="0"/>
        <v>44696</v>
      </c>
      <c r="R2" s="106">
        <f t="shared" si="0"/>
        <v>44697</v>
      </c>
      <c r="S2" s="106">
        <f t="shared" si="0"/>
        <v>44698</v>
      </c>
      <c r="T2" s="106">
        <f t="shared" si="0"/>
        <v>44699</v>
      </c>
      <c r="U2" s="106">
        <f t="shared" si="0"/>
        <v>44700</v>
      </c>
      <c r="V2" s="106">
        <f t="shared" si="0"/>
        <v>44701</v>
      </c>
      <c r="W2" s="106">
        <f t="shared" si="0"/>
        <v>44702</v>
      </c>
      <c r="X2" s="106">
        <f t="shared" si="0"/>
        <v>44703</v>
      </c>
      <c r="Y2" s="106">
        <f t="shared" si="0"/>
        <v>44704</v>
      </c>
      <c r="Z2" s="106">
        <f t="shared" si="0"/>
        <v>44705</v>
      </c>
      <c r="AA2" s="106">
        <f t="shared" si="0"/>
        <v>44706</v>
      </c>
      <c r="AB2" s="106">
        <f t="shared" si="0"/>
        <v>44707</v>
      </c>
      <c r="AC2" s="106">
        <f t="shared" si="0"/>
        <v>44708</v>
      </c>
      <c r="AD2" s="106">
        <f t="shared" si="0"/>
        <v>44709</v>
      </c>
      <c r="AE2" s="106">
        <f t="shared" si="0"/>
        <v>44710</v>
      </c>
      <c r="AF2" s="106">
        <f t="shared" si="0"/>
        <v>44711</v>
      </c>
      <c r="AG2" s="106">
        <f t="shared" si="0"/>
        <v>44712</v>
      </c>
      <c r="AH2" s="119" t="s">
        <v>59</v>
      </c>
      <c r="AJ2" s="63" t="s">
        <v>67</v>
      </c>
      <c r="AK2" s="64" t="s">
        <v>133</v>
      </c>
    </row>
    <row r="3" spans="1:37" ht="15.75" x14ac:dyDescent="0.25">
      <c r="A3" s="120" t="s">
        <v>61</v>
      </c>
      <c r="B3" s="121" t="s">
        <v>84</v>
      </c>
      <c r="C3" s="113">
        <v>3.13</v>
      </c>
      <c r="D3" s="113">
        <f>10.79-0.14-0.09-1.89-0.43-3.77</f>
        <v>4.4699999999999989</v>
      </c>
      <c r="E3" s="113">
        <v>3.33</v>
      </c>
      <c r="F3" s="113">
        <v>6.26</v>
      </c>
      <c r="G3" s="113">
        <v>7</v>
      </c>
      <c r="H3" s="113">
        <v>14.5</v>
      </c>
      <c r="I3" s="113">
        <v>9.33</v>
      </c>
      <c r="J3" s="113">
        <v>19.559999999999999</v>
      </c>
      <c r="K3" s="113">
        <v>4.99</v>
      </c>
      <c r="L3" s="113">
        <v>7.21</v>
      </c>
      <c r="M3" s="113">
        <v>11.78</v>
      </c>
      <c r="N3" s="113">
        <v>13</v>
      </c>
      <c r="O3" s="113">
        <v>9.36</v>
      </c>
      <c r="P3" s="113">
        <v>32.450000000000003</v>
      </c>
      <c r="Q3" s="113">
        <v>13.83</v>
      </c>
      <c r="R3" s="113">
        <v>10.25</v>
      </c>
      <c r="S3" s="113">
        <v>9.34</v>
      </c>
      <c r="T3" s="113">
        <v>7.18</v>
      </c>
      <c r="U3" s="113">
        <v>10.35</v>
      </c>
      <c r="V3" s="113">
        <v>6.23</v>
      </c>
      <c r="W3" s="113">
        <v>16.190000000000001</v>
      </c>
      <c r="X3" s="113">
        <v>23.48</v>
      </c>
      <c r="Y3" s="113">
        <v>10.92</v>
      </c>
      <c r="Z3" s="113">
        <v>24</v>
      </c>
      <c r="AA3" s="113">
        <v>17.579999999999998</v>
      </c>
      <c r="AB3" s="113">
        <v>16.010000000000002</v>
      </c>
      <c r="AC3" s="113">
        <v>14.4</v>
      </c>
      <c r="AD3" s="113">
        <v>15.18</v>
      </c>
      <c r="AE3" s="113">
        <v>19.3</v>
      </c>
      <c r="AF3" s="113">
        <v>22.15</v>
      </c>
      <c r="AG3" s="113">
        <v>17.350000000000001</v>
      </c>
      <c r="AH3" s="108">
        <f t="shared" ref="AH3:AH8" si="1">SUM(C3:AG3)</f>
        <v>400.10999999999996</v>
      </c>
      <c r="AJ3" s="158" t="s">
        <v>61</v>
      </c>
      <c r="AK3" s="159" t="s">
        <v>84</v>
      </c>
    </row>
    <row r="4" spans="1:37" ht="15.75" x14ac:dyDescent="0.25">
      <c r="A4" s="122" t="s">
        <v>70</v>
      </c>
      <c r="B4" s="123" t="s">
        <v>71</v>
      </c>
      <c r="C4" s="124">
        <v>774</v>
      </c>
      <c r="D4" s="124">
        <f>260-5</f>
        <v>255</v>
      </c>
      <c r="E4" s="124">
        <v>370</v>
      </c>
      <c r="F4" s="124">
        <v>342</v>
      </c>
      <c r="G4" s="124">
        <v>493</v>
      </c>
      <c r="H4" s="124">
        <v>633</v>
      </c>
      <c r="I4" s="124">
        <v>855</v>
      </c>
      <c r="J4" s="124">
        <v>1097</v>
      </c>
      <c r="K4" s="124">
        <v>441</v>
      </c>
      <c r="L4" s="124">
        <v>499</v>
      </c>
      <c r="M4" s="124">
        <v>650</v>
      </c>
      <c r="N4" s="124">
        <v>602</v>
      </c>
      <c r="O4" s="124">
        <v>700</v>
      </c>
      <c r="P4" s="124">
        <v>1476</v>
      </c>
      <c r="Q4" s="124">
        <v>1293</v>
      </c>
      <c r="R4" s="124">
        <v>825</v>
      </c>
      <c r="S4" s="124">
        <v>730</v>
      </c>
      <c r="T4" s="124">
        <v>606</v>
      </c>
      <c r="U4" s="124">
        <v>878</v>
      </c>
      <c r="V4" s="124">
        <v>851</v>
      </c>
      <c r="W4" s="124">
        <v>1410</v>
      </c>
      <c r="X4" s="124">
        <v>1516</v>
      </c>
      <c r="Y4" s="124">
        <v>907</v>
      </c>
      <c r="Z4" s="124">
        <v>897</v>
      </c>
      <c r="AA4" s="124">
        <f>1065+150</f>
        <v>1215</v>
      </c>
      <c r="AB4" s="124">
        <v>1077</v>
      </c>
      <c r="AC4" s="124">
        <v>1346</v>
      </c>
      <c r="AD4" s="124">
        <v>1850</v>
      </c>
      <c r="AE4" s="124">
        <v>2156</v>
      </c>
      <c r="AF4" s="124">
        <f>1625+45</f>
        <v>1670</v>
      </c>
      <c r="AG4" s="124">
        <v>1253</v>
      </c>
      <c r="AH4" s="108">
        <f t="shared" si="1"/>
        <v>29667</v>
      </c>
      <c r="AJ4" s="160" t="s">
        <v>70</v>
      </c>
      <c r="AK4" s="161" t="s">
        <v>71</v>
      </c>
    </row>
    <row r="5" spans="1:37" ht="15.75" x14ac:dyDescent="0.25">
      <c r="A5" s="122" t="s">
        <v>81</v>
      </c>
      <c r="B5" s="123" t="s">
        <v>83</v>
      </c>
      <c r="C5" s="125"/>
      <c r="D5" s="125"/>
      <c r="E5" s="125"/>
      <c r="F5" s="125">
        <v>346</v>
      </c>
      <c r="G5" s="125"/>
      <c r="H5" s="125"/>
      <c r="I5" s="125"/>
      <c r="J5" s="125"/>
      <c r="K5" s="125"/>
      <c r="L5" s="125"/>
      <c r="M5" s="125"/>
      <c r="N5" s="125"/>
      <c r="O5" s="125">
        <v>30</v>
      </c>
      <c r="P5" s="125"/>
      <c r="Q5" s="125"/>
      <c r="R5" s="125"/>
      <c r="S5" s="125"/>
      <c r="T5" s="125"/>
      <c r="U5" s="125">
        <v>3</v>
      </c>
      <c r="V5" s="125"/>
      <c r="W5" s="125"/>
      <c r="X5" s="125"/>
      <c r="Y5" s="125"/>
      <c r="Z5" s="125"/>
      <c r="AA5" s="125"/>
      <c r="AB5" s="125">
        <v>4</v>
      </c>
      <c r="AC5" s="125"/>
      <c r="AD5" s="125"/>
      <c r="AE5" s="125">
        <v>187</v>
      </c>
      <c r="AF5" s="125"/>
      <c r="AG5" s="125"/>
      <c r="AH5" s="108">
        <f t="shared" si="1"/>
        <v>570</v>
      </c>
      <c r="AJ5" s="160" t="s">
        <v>81</v>
      </c>
      <c r="AK5" s="161" t="s">
        <v>83</v>
      </c>
    </row>
    <row r="6" spans="1:37" ht="15.75" x14ac:dyDescent="0.25">
      <c r="A6" s="122" t="s">
        <v>80</v>
      </c>
      <c r="B6" s="123" t="s">
        <v>217</v>
      </c>
      <c r="C6" s="125">
        <v>31.65</v>
      </c>
      <c r="D6" s="125">
        <f>114.12-1.5-0.9-19.95-4.5-39.9</f>
        <v>47.37</v>
      </c>
      <c r="E6" s="125">
        <v>35.17</v>
      </c>
      <c r="F6" s="125">
        <v>66.290000000000006</v>
      </c>
      <c r="G6" s="125">
        <f>76.03-2.4</f>
        <v>73.63</v>
      </c>
      <c r="H6" s="125">
        <f>153.33</f>
        <v>153.33000000000001</v>
      </c>
      <c r="I6" s="125">
        <v>98.58</v>
      </c>
      <c r="J6" s="125">
        <v>207</v>
      </c>
      <c r="K6" s="125">
        <v>52.68</v>
      </c>
      <c r="L6" s="125">
        <v>76.239999999999995</v>
      </c>
      <c r="M6" s="125">
        <v>124.55</v>
      </c>
      <c r="N6" s="125">
        <v>137.6</v>
      </c>
      <c r="O6" s="125">
        <v>98.97</v>
      </c>
      <c r="P6" s="125">
        <v>343.16</v>
      </c>
      <c r="Q6" s="125">
        <v>146.36000000000001</v>
      </c>
      <c r="R6" s="125">
        <v>108.3</v>
      </c>
      <c r="S6" s="125">
        <v>98.22</v>
      </c>
      <c r="T6" s="125">
        <v>75.989999999999995</v>
      </c>
      <c r="U6" s="125">
        <v>116.08</v>
      </c>
      <c r="V6" s="125">
        <v>65.790000000000006</v>
      </c>
      <c r="W6" s="125">
        <v>171.44</v>
      </c>
      <c r="X6" s="125">
        <v>248.48</v>
      </c>
      <c r="Y6" s="125">
        <v>115.42</v>
      </c>
      <c r="Z6" s="125">
        <v>253.36</v>
      </c>
      <c r="AA6" s="125">
        <v>185.76</v>
      </c>
      <c r="AB6" s="125">
        <v>169.01</v>
      </c>
      <c r="AC6" s="125">
        <v>152.12</v>
      </c>
      <c r="AD6" s="125">
        <v>160.68</v>
      </c>
      <c r="AE6" s="125">
        <v>204.08</v>
      </c>
      <c r="AF6" s="125">
        <v>234.4</v>
      </c>
      <c r="AG6" s="125">
        <v>183.53</v>
      </c>
      <c r="AH6" s="108">
        <f t="shared" si="1"/>
        <v>4235.24</v>
      </c>
      <c r="AJ6" s="160" t="s">
        <v>80</v>
      </c>
      <c r="AK6" s="161" t="s">
        <v>217</v>
      </c>
    </row>
    <row r="7" spans="1:37" ht="15.75" x14ac:dyDescent="0.25">
      <c r="A7" s="122" t="s">
        <v>80</v>
      </c>
      <c r="B7" s="123" t="s">
        <v>82</v>
      </c>
      <c r="C7" s="125">
        <v>2</v>
      </c>
      <c r="D7" s="125"/>
      <c r="E7" s="125"/>
      <c r="F7" s="125"/>
      <c r="G7" s="125">
        <v>2.4</v>
      </c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>
        <v>1.6</v>
      </c>
      <c r="S7" s="125"/>
      <c r="T7" s="125"/>
      <c r="U7" s="125">
        <v>0.4</v>
      </c>
      <c r="V7" s="125"/>
      <c r="W7" s="125"/>
      <c r="X7" s="125">
        <v>0.4</v>
      </c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6.8000000000000007</v>
      </c>
      <c r="AJ7" s="160" t="s">
        <v>80</v>
      </c>
      <c r="AK7" s="161" t="s">
        <v>82</v>
      </c>
    </row>
    <row r="8" spans="1:37" ht="16.5" thickBot="1" x14ac:dyDescent="0.3">
      <c r="A8" s="432"/>
      <c r="B8" s="431" t="s">
        <v>199</v>
      </c>
      <c r="C8" s="430">
        <f t="shared" ref="C8:AG8" si="2">SUM(C3:C7)</f>
        <v>810.78</v>
      </c>
      <c r="D8" s="430">
        <f t="shared" si="2"/>
        <v>306.84000000000003</v>
      </c>
      <c r="E8" s="430">
        <f t="shared" si="2"/>
        <v>408.5</v>
      </c>
      <c r="F8" s="430">
        <f t="shared" si="2"/>
        <v>760.55</v>
      </c>
      <c r="G8" s="430">
        <f t="shared" si="2"/>
        <v>576.03</v>
      </c>
      <c r="H8" s="430">
        <f t="shared" si="2"/>
        <v>800.83</v>
      </c>
      <c r="I8" s="430">
        <f t="shared" si="2"/>
        <v>962.91000000000008</v>
      </c>
      <c r="J8" s="430">
        <f t="shared" si="2"/>
        <v>1323.56</v>
      </c>
      <c r="K8" s="430">
        <f t="shared" si="2"/>
        <v>498.67</v>
      </c>
      <c r="L8" s="430">
        <f t="shared" si="2"/>
        <v>582.44999999999993</v>
      </c>
      <c r="M8" s="430">
        <f t="shared" si="2"/>
        <v>786.32999999999993</v>
      </c>
      <c r="N8" s="430">
        <f t="shared" si="2"/>
        <v>752.6</v>
      </c>
      <c r="O8" s="430">
        <f t="shared" si="2"/>
        <v>838.33</v>
      </c>
      <c r="P8" s="430">
        <f t="shared" si="2"/>
        <v>1851.6100000000001</v>
      </c>
      <c r="Q8" s="430">
        <f t="shared" si="2"/>
        <v>1453.19</v>
      </c>
      <c r="R8" s="430">
        <f t="shared" si="2"/>
        <v>945.15</v>
      </c>
      <c r="S8" s="430">
        <f t="shared" si="2"/>
        <v>837.56000000000006</v>
      </c>
      <c r="T8" s="430">
        <f t="shared" si="2"/>
        <v>689.17</v>
      </c>
      <c r="U8" s="430">
        <f t="shared" si="2"/>
        <v>1007.83</v>
      </c>
      <c r="V8" s="430">
        <f t="shared" si="2"/>
        <v>923.02</v>
      </c>
      <c r="W8" s="430">
        <f t="shared" si="2"/>
        <v>1597.63</v>
      </c>
      <c r="X8" s="430">
        <f t="shared" si="2"/>
        <v>1788.3600000000001</v>
      </c>
      <c r="Y8" s="430">
        <f t="shared" si="2"/>
        <v>1033.3399999999999</v>
      </c>
      <c r="Z8" s="430">
        <f t="shared" si="2"/>
        <v>1174.3600000000001</v>
      </c>
      <c r="AA8" s="430">
        <f t="shared" si="2"/>
        <v>1418.34</v>
      </c>
      <c r="AB8" s="430">
        <f t="shared" si="2"/>
        <v>1266.02</v>
      </c>
      <c r="AC8" s="430">
        <f t="shared" si="2"/>
        <v>1512.52</v>
      </c>
      <c r="AD8" s="430">
        <f t="shared" si="2"/>
        <v>2025.8600000000001</v>
      </c>
      <c r="AE8" s="430">
        <f t="shared" si="2"/>
        <v>2566.38</v>
      </c>
      <c r="AF8" s="430">
        <f t="shared" si="2"/>
        <v>1926.5500000000002</v>
      </c>
      <c r="AG8" s="430">
        <f t="shared" si="2"/>
        <v>1453.8799999999999</v>
      </c>
      <c r="AH8" s="429">
        <f t="shared" si="1"/>
        <v>34879.15</v>
      </c>
      <c r="AJ8" s="160"/>
      <c r="AK8" s="161"/>
    </row>
    <row r="9" spans="1:37" ht="15.75" x14ac:dyDescent="0.25">
      <c r="A9" s="428" t="s">
        <v>61</v>
      </c>
      <c r="B9" s="427" t="s">
        <v>84</v>
      </c>
      <c r="C9" s="426"/>
      <c r="D9" s="107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  <c r="AA9" s="425"/>
      <c r="AB9" s="425"/>
      <c r="AC9" s="425"/>
      <c r="AD9" s="425">
        <v>8.52</v>
      </c>
      <c r="AE9" s="425">
        <v>28.54</v>
      </c>
      <c r="AF9" s="425">
        <v>7.09</v>
      </c>
      <c r="AG9" s="425">
        <v>4.66</v>
      </c>
      <c r="AH9" s="424">
        <f t="shared" ref="AH9:AH13" si="3">SUM(C9:AG9)</f>
        <v>48.81</v>
      </c>
      <c r="AJ9" s="422"/>
      <c r="AK9" s="421"/>
    </row>
    <row r="10" spans="1:37" ht="15.75" x14ac:dyDescent="0.25">
      <c r="A10" s="122" t="s">
        <v>70</v>
      </c>
      <c r="B10" s="123" t="s">
        <v>71</v>
      </c>
      <c r="C10" s="423"/>
      <c r="D10" s="125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>
        <v>1110</v>
      </c>
      <c r="AE10" s="151">
        <f>1333+45</f>
        <v>1378</v>
      </c>
      <c r="AF10" s="151">
        <v>842</v>
      </c>
      <c r="AG10" s="151">
        <v>480</v>
      </c>
      <c r="AH10" s="418">
        <f t="shared" si="3"/>
        <v>3810</v>
      </c>
      <c r="AJ10" s="422"/>
      <c r="AK10" s="421"/>
    </row>
    <row r="11" spans="1:37" ht="15.75" x14ac:dyDescent="0.25">
      <c r="A11" s="122" t="s">
        <v>81</v>
      </c>
      <c r="B11" s="123" t="s">
        <v>83</v>
      </c>
      <c r="C11" s="423"/>
      <c r="D11" s="125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418">
        <f t="shared" si="3"/>
        <v>0</v>
      </c>
      <c r="AJ11" s="422"/>
      <c r="AK11" s="421"/>
    </row>
    <row r="12" spans="1:37" ht="15.75" x14ac:dyDescent="0.25">
      <c r="A12" s="122" t="s">
        <v>80</v>
      </c>
      <c r="B12" s="123" t="s">
        <v>217</v>
      </c>
      <c r="C12" s="423"/>
      <c r="D12" s="125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>
        <v>87.8</v>
      </c>
      <c r="AE12" s="151">
        <v>301.85000000000002</v>
      </c>
      <c r="AF12" s="151">
        <v>73.540000000000006</v>
      </c>
      <c r="AG12" s="151">
        <v>49.17</v>
      </c>
      <c r="AH12" s="418">
        <f t="shared" si="3"/>
        <v>512.36</v>
      </c>
      <c r="AJ12" s="422"/>
      <c r="AK12" s="421"/>
    </row>
    <row r="13" spans="1:37" ht="15.75" x14ac:dyDescent="0.25">
      <c r="A13" s="122" t="s">
        <v>80</v>
      </c>
      <c r="B13" s="123" t="s">
        <v>82</v>
      </c>
      <c r="C13" s="423"/>
      <c r="D13" s="125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418">
        <f t="shared" si="3"/>
        <v>0</v>
      </c>
      <c r="AJ13" s="422"/>
      <c r="AK13" s="421"/>
    </row>
    <row r="14" spans="1:37" ht="16.5" thickBot="1" x14ac:dyDescent="0.3">
      <c r="A14" s="132"/>
      <c r="B14" s="420" t="s">
        <v>198</v>
      </c>
      <c r="C14" s="419">
        <f t="shared" ref="C14:AG14" si="4">SUM(C9:C13)</f>
        <v>0</v>
      </c>
      <c r="D14" s="419">
        <f t="shared" si="4"/>
        <v>0</v>
      </c>
      <c r="E14" s="419">
        <f t="shared" si="4"/>
        <v>0</v>
      </c>
      <c r="F14" s="419">
        <f t="shared" si="4"/>
        <v>0</v>
      </c>
      <c r="G14" s="419">
        <f t="shared" si="4"/>
        <v>0</v>
      </c>
      <c r="H14" s="419">
        <f t="shared" si="4"/>
        <v>0</v>
      </c>
      <c r="I14" s="419">
        <f t="shared" si="4"/>
        <v>0</v>
      </c>
      <c r="J14" s="419">
        <f t="shared" si="4"/>
        <v>0</v>
      </c>
      <c r="K14" s="419">
        <f t="shared" si="4"/>
        <v>0</v>
      </c>
      <c r="L14" s="419">
        <f t="shared" si="4"/>
        <v>0</v>
      </c>
      <c r="M14" s="419">
        <f t="shared" si="4"/>
        <v>0</v>
      </c>
      <c r="N14" s="419">
        <f t="shared" si="4"/>
        <v>0</v>
      </c>
      <c r="O14" s="419">
        <f t="shared" si="4"/>
        <v>0</v>
      </c>
      <c r="P14" s="419">
        <f t="shared" si="4"/>
        <v>0</v>
      </c>
      <c r="Q14" s="419">
        <f t="shared" si="4"/>
        <v>0</v>
      </c>
      <c r="R14" s="419">
        <f t="shared" si="4"/>
        <v>0</v>
      </c>
      <c r="S14" s="419">
        <f t="shared" si="4"/>
        <v>0</v>
      </c>
      <c r="T14" s="419">
        <f t="shared" si="4"/>
        <v>0</v>
      </c>
      <c r="U14" s="419">
        <f t="shared" si="4"/>
        <v>0</v>
      </c>
      <c r="V14" s="419">
        <f t="shared" si="4"/>
        <v>0</v>
      </c>
      <c r="W14" s="419">
        <f t="shared" si="4"/>
        <v>0</v>
      </c>
      <c r="X14" s="419">
        <f t="shared" si="4"/>
        <v>0</v>
      </c>
      <c r="Y14" s="419">
        <f t="shared" si="4"/>
        <v>0</v>
      </c>
      <c r="Z14" s="419">
        <f t="shared" si="4"/>
        <v>0</v>
      </c>
      <c r="AA14" s="419">
        <f t="shared" si="4"/>
        <v>0</v>
      </c>
      <c r="AB14" s="419">
        <f t="shared" si="4"/>
        <v>0</v>
      </c>
      <c r="AC14" s="419">
        <f t="shared" si="4"/>
        <v>0</v>
      </c>
      <c r="AD14" s="419">
        <f>SUM(AD9:AD13)</f>
        <v>1206.32</v>
      </c>
      <c r="AE14" s="419">
        <f t="shared" si="4"/>
        <v>1708.3899999999999</v>
      </c>
      <c r="AF14" s="419">
        <f t="shared" si="4"/>
        <v>922.63</v>
      </c>
      <c r="AG14" s="419">
        <f t="shared" si="4"/>
        <v>533.83000000000004</v>
      </c>
      <c r="AH14" s="418">
        <f>SUM(C14:AG14)</f>
        <v>4371.17</v>
      </c>
      <c r="AJ14" s="77"/>
      <c r="AK14" s="78"/>
    </row>
    <row r="15" spans="1:37" x14ac:dyDescent="0.25">
      <c r="A15" s="134"/>
      <c r="B15" s="413" t="s">
        <v>65</v>
      </c>
      <c r="C15" s="412">
        <f t="shared" ref="C15:AF15" si="5">SUM(C3:C7,C9:C13)</f>
        <v>810.78</v>
      </c>
      <c r="D15" s="412">
        <f t="shared" si="5"/>
        <v>306.84000000000003</v>
      </c>
      <c r="E15" s="412">
        <f t="shared" si="5"/>
        <v>408.5</v>
      </c>
      <c r="F15" s="412">
        <f t="shared" si="5"/>
        <v>760.55</v>
      </c>
      <c r="G15" s="412">
        <f t="shared" si="5"/>
        <v>576.03</v>
      </c>
      <c r="H15" s="412">
        <f t="shared" si="5"/>
        <v>800.83</v>
      </c>
      <c r="I15" s="412">
        <f t="shared" si="5"/>
        <v>962.91000000000008</v>
      </c>
      <c r="J15" s="412">
        <f t="shared" si="5"/>
        <v>1323.56</v>
      </c>
      <c r="K15" s="412">
        <f t="shared" si="5"/>
        <v>498.67</v>
      </c>
      <c r="L15" s="412">
        <f t="shared" si="5"/>
        <v>582.44999999999993</v>
      </c>
      <c r="M15" s="412">
        <f t="shared" si="5"/>
        <v>786.32999999999993</v>
      </c>
      <c r="N15" s="412">
        <f t="shared" si="5"/>
        <v>752.6</v>
      </c>
      <c r="O15" s="412">
        <f t="shared" si="5"/>
        <v>838.33</v>
      </c>
      <c r="P15" s="412">
        <f t="shared" si="5"/>
        <v>1851.6100000000001</v>
      </c>
      <c r="Q15" s="412">
        <f t="shared" si="5"/>
        <v>1453.19</v>
      </c>
      <c r="R15" s="412">
        <f t="shared" si="5"/>
        <v>945.15</v>
      </c>
      <c r="S15" s="412">
        <f t="shared" si="5"/>
        <v>837.56000000000006</v>
      </c>
      <c r="T15" s="412">
        <f t="shared" si="5"/>
        <v>689.17</v>
      </c>
      <c r="U15" s="412">
        <f t="shared" si="5"/>
        <v>1007.83</v>
      </c>
      <c r="V15" s="412">
        <f t="shared" si="5"/>
        <v>923.02</v>
      </c>
      <c r="W15" s="412">
        <f t="shared" si="5"/>
        <v>1597.63</v>
      </c>
      <c r="X15" s="412">
        <f t="shared" si="5"/>
        <v>1788.3600000000001</v>
      </c>
      <c r="Y15" s="412">
        <f t="shared" si="5"/>
        <v>1033.3399999999999</v>
      </c>
      <c r="Z15" s="412">
        <f t="shared" si="5"/>
        <v>1174.3600000000001</v>
      </c>
      <c r="AA15" s="412">
        <f t="shared" si="5"/>
        <v>1418.34</v>
      </c>
      <c r="AB15" s="412">
        <f t="shared" si="5"/>
        <v>1266.02</v>
      </c>
      <c r="AC15" s="412">
        <f t="shared" si="5"/>
        <v>1512.52</v>
      </c>
      <c r="AD15" s="412">
        <f t="shared" si="5"/>
        <v>3232.1800000000003</v>
      </c>
      <c r="AE15" s="412">
        <f t="shared" si="5"/>
        <v>4274.7700000000004</v>
      </c>
      <c r="AF15" s="412">
        <f t="shared" si="5"/>
        <v>2849.1800000000003</v>
      </c>
      <c r="AG15" s="412">
        <f>SUM(AG3:AG7,AG9:AG13)</f>
        <v>1987.71</v>
      </c>
      <c r="AH15" s="109">
        <f>SUM(C15:AG15)</f>
        <v>39250.320000000007</v>
      </c>
      <c r="AJ15" s="83"/>
      <c r="AK15" s="84" t="s">
        <v>65</v>
      </c>
    </row>
    <row r="16" spans="1:37" ht="15.75" thickBot="1" x14ac:dyDescent="0.3">
      <c r="A16" s="285"/>
      <c r="B16" s="286"/>
      <c r="C16" s="287"/>
      <c r="D16" s="287"/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287"/>
      <c r="AA16" s="287"/>
      <c r="AB16" s="287"/>
      <c r="AC16" s="287"/>
      <c r="AD16" s="287"/>
      <c r="AE16" s="287"/>
      <c r="AF16" s="287"/>
      <c r="AG16" s="287"/>
      <c r="AH16" s="288"/>
      <c r="AJ16" s="189"/>
      <c r="AK16" s="189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7"/>
      <c r="AJ17" s="488" t="s">
        <v>132</v>
      </c>
      <c r="AK17" s="489"/>
      <c r="AL17" s="489"/>
      <c r="AM17" s="490"/>
    </row>
    <row r="18" spans="1:40" ht="16.5" thickBot="1" x14ac:dyDescent="0.3">
      <c r="A18" s="366" t="str">
        <f>'[1]TEMP Summary'!A12</f>
        <v>01-00-1000</v>
      </c>
      <c r="B18" s="452" t="s">
        <v>197</v>
      </c>
      <c r="C18" s="433">
        <v>401.78</v>
      </c>
      <c r="D18" s="434">
        <v>105</v>
      </c>
      <c r="E18" s="434">
        <v>180.66</v>
      </c>
      <c r="F18" s="434">
        <v>610.95000000000005</v>
      </c>
      <c r="G18" s="434">
        <v>342.1</v>
      </c>
      <c r="H18" s="434">
        <v>342.14</v>
      </c>
      <c r="I18" s="434">
        <v>510.44</v>
      </c>
      <c r="J18" s="434">
        <v>592.30999999999995</v>
      </c>
      <c r="K18" s="434">
        <v>349.7</v>
      </c>
      <c r="L18" s="434">
        <v>416.19</v>
      </c>
      <c r="M18" s="434">
        <v>281.08999999999997</v>
      </c>
      <c r="N18" s="434">
        <v>378.85</v>
      </c>
      <c r="O18" s="434">
        <v>426.9</v>
      </c>
      <c r="P18" s="434">
        <v>850.84</v>
      </c>
      <c r="Q18" s="434">
        <v>740.5</v>
      </c>
      <c r="R18" s="434">
        <v>576.24</v>
      </c>
      <c r="S18" s="434">
        <v>387.03</v>
      </c>
      <c r="T18" s="107">
        <v>295.45</v>
      </c>
      <c r="U18" s="107">
        <v>562.91999999999996</v>
      </c>
      <c r="V18" s="107">
        <v>473.51</v>
      </c>
      <c r="W18" s="107">
        <v>957.84</v>
      </c>
      <c r="X18" s="107">
        <v>860.78</v>
      </c>
      <c r="Y18" s="107">
        <v>474.23</v>
      </c>
      <c r="Z18" s="107">
        <v>602.87</v>
      </c>
      <c r="AA18" s="107">
        <v>718.01</v>
      </c>
      <c r="AB18" s="107">
        <v>657.69</v>
      </c>
      <c r="AC18" s="107">
        <v>850.08</v>
      </c>
      <c r="AD18" s="107">
        <v>515.35</v>
      </c>
      <c r="AE18" s="107">
        <f>1132.23+187</f>
        <v>1319.23</v>
      </c>
      <c r="AF18" s="107">
        <v>731.72</v>
      </c>
      <c r="AG18" s="464">
        <v>690.16</v>
      </c>
      <c r="AH18" s="416">
        <f>SUM(C18:AG18)</f>
        <v>17202.560000000001</v>
      </c>
      <c r="AJ18" s="281" t="s">
        <v>67</v>
      </c>
      <c r="AK18" s="282" t="s">
        <v>133</v>
      </c>
      <c r="AL18" s="282" t="s">
        <v>125</v>
      </c>
      <c r="AM18" s="283" t="s">
        <v>126</v>
      </c>
    </row>
    <row r="19" spans="1:40" ht="16.5" thickBot="1" x14ac:dyDescent="0.3">
      <c r="A19" s="367" t="str">
        <f>'[1]TEMP Summary'!A13</f>
        <v>01-00-1000</v>
      </c>
      <c r="B19" s="453" t="s">
        <v>196</v>
      </c>
      <c r="C19" s="435"/>
      <c r="D19" s="436"/>
      <c r="E19" s="436"/>
      <c r="F19" s="436"/>
      <c r="G19" s="436"/>
      <c r="H19" s="436"/>
      <c r="I19" s="436"/>
      <c r="J19" s="436"/>
      <c r="K19" s="436"/>
      <c r="L19" s="436"/>
      <c r="M19" s="436"/>
      <c r="N19" s="436"/>
      <c r="O19" s="436"/>
      <c r="P19" s="436"/>
      <c r="Q19" s="436"/>
      <c r="R19" s="436"/>
      <c r="S19" s="436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>
        <v>548.64</v>
      </c>
      <c r="AE19" s="125">
        <v>832.9</v>
      </c>
      <c r="AF19" s="125">
        <v>473.19</v>
      </c>
      <c r="AG19" s="465">
        <v>263.11</v>
      </c>
      <c r="AH19" s="415">
        <f>SUM(C19:AG19)</f>
        <v>2117.84</v>
      </c>
      <c r="AJ19" s="357"/>
      <c r="AK19" s="358"/>
      <c r="AL19" s="358"/>
      <c r="AM19" s="359"/>
    </row>
    <row r="20" spans="1:40" ht="15.75" x14ac:dyDescent="0.25">
      <c r="A20" s="367" t="str">
        <f>'[1]TEMP Summary'!A14</f>
        <v>01-00-1000</v>
      </c>
      <c r="B20" s="453" t="s">
        <v>195</v>
      </c>
      <c r="C20" s="435">
        <v>409</v>
      </c>
      <c r="D20" s="436">
        <v>147.16999999999999</v>
      </c>
      <c r="E20" s="436">
        <v>227.84</v>
      </c>
      <c r="F20" s="436">
        <v>149.6</v>
      </c>
      <c r="G20" s="436">
        <v>233.95</v>
      </c>
      <c r="H20" s="436">
        <v>465.69</v>
      </c>
      <c r="I20" s="436">
        <v>465.43</v>
      </c>
      <c r="J20" s="436">
        <v>731.25</v>
      </c>
      <c r="K20" s="436">
        <v>148.97</v>
      </c>
      <c r="L20" s="436">
        <v>166.26</v>
      </c>
      <c r="M20" s="436">
        <v>505.24</v>
      </c>
      <c r="N20" s="436">
        <v>373.75</v>
      </c>
      <c r="O20" s="436">
        <v>411.43</v>
      </c>
      <c r="P20" s="436">
        <v>1041.52</v>
      </c>
      <c r="Q20" s="436">
        <v>712.69</v>
      </c>
      <c r="R20" s="436">
        <v>368.91</v>
      </c>
      <c r="S20" s="436">
        <v>450.53</v>
      </c>
      <c r="T20" s="125">
        <v>393.72</v>
      </c>
      <c r="U20" s="125">
        <v>444.91</v>
      </c>
      <c r="V20" s="125">
        <v>449.51</v>
      </c>
      <c r="W20" s="125">
        <v>626.01</v>
      </c>
      <c r="X20" s="125">
        <v>927.58</v>
      </c>
      <c r="Y20" s="467">
        <v>559.11</v>
      </c>
      <c r="Z20" s="467">
        <v>571.49</v>
      </c>
      <c r="AA20" s="467">
        <f>550.33+150</f>
        <v>700.33</v>
      </c>
      <c r="AB20" s="467">
        <v>608.33000000000004</v>
      </c>
      <c r="AC20" s="467">
        <v>662.44</v>
      </c>
      <c r="AD20" s="467">
        <v>1510.51</v>
      </c>
      <c r="AE20" s="467">
        <v>1247.1500000000001</v>
      </c>
      <c r="AF20" s="467">
        <v>1194.83</v>
      </c>
      <c r="AG20" s="465">
        <v>764.72</v>
      </c>
      <c r="AH20" s="415">
        <f t="shared" ref="AH20:AH22" si="6">SUM(C20:AG20)</f>
        <v>17669.870000000003</v>
      </c>
      <c r="AJ20" s="126" t="s">
        <v>60</v>
      </c>
      <c r="AK20" s="127" t="s">
        <v>54</v>
      </c>
      <c r="AL20" s="459">
        <f>SUM(C18:AF19)-187</f>
        <v>18180.13</v>
      </c>
      <c r="AM20" s="460">
        <f>SUM(AG18:AG19)+187</f>
        <v>1140.27</v>
      </c>
    </row>
    <row r="21" spans="1:40" ht="15" customHeight="1" x14ac:dyDescent="0.25">
      <c r="A21" s="367" t="str">
        <f>'[1]TEMP Summary'!A15</f>
        <v>01-00-1000</v>
      </c>
      <c r="B21" s="453" t="s">
        <v>194</v>
      </c>
      <c r="C21" s="435"/>
      <c r="D21" s="436"/>
      <c r="E21" s="436"/>
      <c r="F21" s="436"/>
      <c r="G21" s="436"/>
      <c r="H21" s="436"/>
      <c r="I21" s="436"/>
      <c r="J21" s="436"/>
      <c r="K21" s="436"/>
      <c r="L21" s="436"/>
      <c r="M21" s="436"/>
      <c r="N21" s="436"/>
      <c r="O21" s="436"/>
      <c r="P21" s="436"/>
      <c r="Q21" s="436"/>
      <c r="R21" s="436"/>
      <c r="S21" s="436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467">
        <v>650.69000000000005</v>
      </c>
      <c r="AE21" s="467">
        <f>875.49</f>
        <v>875.49</v>
      </c>
      <c r="AF21" s="467">
        <v>449.44</v>
      </c>
      <c r="AG21" s="465">
        <v>270.72000000000003</v>
      </c>
      <c r="AH21" s="415">
        <f>SUM(C21:AG21)</f>
        <v>2246.34</v>
      </c>
      <c r="AJ21" s="129" t="s">
        <v>60</v>
      </c>
      <c r="AK21" s="130" t="s">
        <v>215</v>
      </c>
      <c r="AL21" s="289">
        <f>SUM(C20:X21)-AL29</f>
        <v>9555.3700000000008</v>
      </c>
      <c r="AM21" s="290">
        <f>SUM(Y20:AG21)-AM29</f>
        <v>9763.32</v>
      </c>
    </row>
    <row r="22" spans="1:40" ht="15.75" x14ac:dyDescent="0.25">
      <c r="A22" s="367" t="s">
        <v>60</v>
      </c>
      <c r="B22" s="453" t="s">
        <v>220</v>
      </c>
      <c r="C22" s="435"/>
      <c r="D22" s="436">
        <v>1</v>
      </c>
      <c r="E22" s="436"/>
      <c r="F22" s="436"/>
      <c r="G22" s="436"/>
      <c r="H22" s="436"/>
      <c r="I22" s="436"/>
      <c r="J22" s="436"/>
      <c r="K22" s="436">
        <v>27</v>
      </c>
      <c r="L22" s="436"/>
      <c r="M22" s="436"/>
      <c r="N22" s="436"/>
      <c r="O22" s="436"/>
      <c r="P22" s="436"/>
      <c r="Q22" s="436"/>
      <c r="R22" s="436"/>
      <c r="S22" s="436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467"/>
      <c r="AE22" s="467"/>
      <c r="AF22" s="467"/>
      <c r="AG22" s="465"/>
      <c r="AH22" s="415">
        <f t="shared" si="6"/>
        <v>28</v>
      </c>
      <c r="AJ22" s="360" t="s">
        <v>60</v>
      </c>
      <c r="AK22" s="361" t="s">
        <v>222</v>
      </c>
      <c r="AL22" s="362">
        <f>SUM(C22:AC23)</f>
        <v>28</v>
      </c>
      <c r="AM22" s="363">
        <f>SUM(AD22:AG23)</f>
        <v>0</v>
      </c>
    </row>
    <row r="23" spans="1:40" ht="16.5" thickBot="1" x14ac:dyDescent="0.3">
      <c r="A23" s="368" t="s">
        <v>60</v>
      </c>
      <c r="B23" s="454" t="s">
        <v>221</v>
      </c>
      <c r="C23" s="364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65"/>
      <c r="T23" s="365"/>
      <c r="U23" s="365"/>
      <c r="V23" s="365"/>
      <c r="W23" s="365"/>
      <c r="X23" s="365"/>
      <c r="Y23" s="365"/>
      <c r="Z23" s="365"/>
      <c r="AA23" s="365"/>
      <c r="AB23" s="365"/>
      <c r="AC23" s="365"/>
      <c r="AD23" s="365"/>
      <c r="AE23" s="365"/>
      <c r="AF23" s="365"/>
      <c r="AG23" s="451"/>
      <c r="AH23" s="457"/>
      <c r="AJ23" s="360"/>
      <c r="AK23" s="361"/>
      <c r="AL23" s="362"/>
      <c r="AM23" s="363"/>
    </row>
    <row r="24" spans="1:40" ht="16.5" thickBot="1" x14ac:dyDescent="0.3">
      <c r="A24" s="455"/>
      <c r="B24" s="456" t="s">
        <v>66</v>
      </c>
      <c r="C24" s="446">
        <f>SUM(C18:C23)</f>
        <v>810.78</v>
      </c>
      <c r="D24" s="446">
        <f t="shared" ref="D24:AG24" si="7">SUM(D18:D23)</f>
        <v>253.17</v>
      </c>
      <c r="E24" s="446">
        <f t="shared" si="7"/>
        <v>408.5</v>
      </c>
      <c r="F24" s="446">
        <f t="shared" si="7"/>
        <v>760.55000000000007</v>
      </c>
      <c r="G24" s="446">
        <f t="shared" si="7"/>
        <v>576.04999999999995</v>
      </c>
      <c r="H24" s="446">
        <f t="shared" si="7"/>
        <v>807.82999999999993</v>
      </c>
      <c r="I24" s="446">
        <f t="shared" si="7"/>
        <v>975.87</v>
      </c>
      <c r="J24" s="446">
        <f t="shared" si="7"/>
        <v>1323.56</v>
      </c>
      <c r="K24" s="446">
        <f t="shared" si="7"/>
        <v>525.66999999999996</v>
      </c>
      <c r="L24" s="446">
        <f t="shared" si="7"/>
        <v>582.45000000000005</v>
      </c>
      <c r="M24" s="446">
        <f t="shared" si="7"/>
        <v>786.32999999999993</v>
      </c>
      <c r="N24" s="446">
        <f t="shared" si="7"/>
        <v>752.6</v>
      </c>
      <c r="O24" s="446">
        <f t="shared" si="7"/>
        <v>838.32999999999993</v>
      </c>
      <c r="P24" s="446">
        <f t="shared" si="7"/>
        <v>1892.3600000000001</v>
      </c>
      <c r="Q24" s="446">
        <f t="shared" si="7"/>
        <v>1453.19</v>
      </c>
      <c r="R24" s="446">
        <f t="shared" si="7"/>
        <v>945.15000000000009</v>
      </c>
      <c r="S24" s="446">
        <f t="shared" si="7"/>
        <v>837.56</v>
      </c>
      <c r="T24" s="446">
        <f t="shared" si="7"/>
        <v>689.17000000000007</v>
      </c>
      <c r="U24" s="446">
        <f t="shared" si="7"/>
        <v>1007.8299999999999</v>
      </c>
      <c r="V24" s="446">
        <f t="shared" si="7"/>
        <v>923.02</v>
      </c>
      <c r="W24" s="446">
        <f t="shared" si="7"/>
        <v>1583.85</v>
      </c>
      <c r="X24" s="446">
        <f t="shared" si="7"/>
        <v>1788.3600000000001</v>
      </c>
      <c r="Y24" s="468">
        <f t="shared" si="7"/>
        <v>1033.3400000000001</v>
      </c>
      <c r="Z24" s="468">
        <f t="shared" si="7"/>
        <v>1174.3600000000001</v>
      </c>
      <c r="AA24" s="469">
        <f>SUM(AA18:AA23)</f>
        <v>1418.3400000000001</v>
      </c>
      <c r="AB24" s="468">
        <f t="shared" si="7"/>
        <v>1266.02</v>
      </c>
      <c r="AC24" s="468">
        <f t="shared" si="7"/>
        <v>1512.52</v>
      </c>
      <c r="AD24" s="468">
        <f t="shared" si="7"/>
        <v>3225.19</v>
      </c>
      <c r="AE24" s="468">
        <f t="shared" si="7"/>
        <v>4274.7700000000004</v>
      </c>
      <c r="AF24" s="468">
        <f t="shared" si="7"/>
        <v>2849.18</v>
      </c>
      <c r="AG24" s="468">
        <f t="shared" si="7"/>
        <v>1988.71</v>
      </c>
      <c r="AH24" s="457">
        <f>SUM(C24:AG24)</f>
        <v>39264.61</v>
      </c>
      <c r="AJ24" s="135" t="s">
        <v>85</v>
      </c>
      <c r="AK24" s="136" t="s">
        <v>33</v>
      </c>
      <c r="AL24" s="291">
        <f>SUM(AH26:AH27)</f>
        <v>-14.289999999999708</v>
      </c>
      <c r="AM24" s="292"/>
      <c r="AN24" s="116" t="s">
        <v>134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77" t="s">
        <v>77</v>
      </c>
      <c r="AK25" s="491"/>
      <c r="AL25" s="492">
        <f>SUM(AL20:AM24)</f>
        <v>38652.800000000003</v>
      </c>
      <c r="AM25" s="493"/>
      <c r="AN25" s="293">
        <f>AL25-AH24</f>
        <v>-611.80999999999767</v>
      </c>
    </row>
    <row r="26" spans="1:40" ht="15.75" x14ac:dyDescent="0.25">
      <c r="A26" s="414"/>
      <c r="B26" s="413" t="s">
        <v>193</v>
      </c>
      <c r="C26" s="412">
        <f>SUM(C3:C7)-(C18+C20+C22)</f>
        <v>0</v>
      </c>
      <c r="D26" s="412">
        <f t="shared" ref="D26:AG26" si="8">SUM(D3:D7)-(D18+D20+D22)</f>
        <v>53.670000000000044</v>
      </c>
      <c r="E26" s="412">
        <f t="shared" si="8"/>
        <v>0</v>
      </c>
      <c r="F26" s="412">
        <f t="shared" si="8"/>
        <v>0</v>
      </c>
      <c r="G26" s="412">
        <f t="shared" si="8"/>
        <v>-1.999999999998181E-2</v>
      </c>
      <c r="H26" s="412">
        <f t="shared" si="8"/>
        <v>-6.9999999999998863</v>
      </c>
      <c r="I26" s="412">
        <f t="shared" si="8"/>
        <v>-12.959999999999923</v>
      </c>
      <c r="J26" s="412">
        <f t="shared" si="8"/>
        <v>0</v>
      </c>
      <c r="K26" s="412">
        <f t="shared" si="8"/>
        <v>-26.999999999999943</v>
      </c>
      <c r="L26" s="412">
        <f t="shared" si="8"/>
        <v>0</v>
      </c>
      <c r="M26" s="412">
        <f t="shared" si="8"/>
        <v>0</v>
      </c>
      <c r="N26" s="412">
        <f t="shared" si="8"/>
        <v>0</v>
      </c>
      <c r="O26" s="412">
        <f>SUM(O3:O7)-(O18+O20+O22)</f>
        <v>0</v>
      </c>
      <c r="P26" s="412">
        <f>SUM(P3:P7)-(P18+P20+P22)</f>
        <v>-40.75</v>
      </c>
      <c r="Q26" s="412">
        <f t="shared" si="8"/>
        <v>0</v>
      </c>
      <c r="R26" s="412">
        <f t="shared" si="8"/>
        <v>0</v>
      </c>
      <c r="S26" s="412">
        <f t="shared" si="8"/>
        <v>0</v>
      </c>
      <c r="T26" s="412">
        <f t="shared" si="8"/>
        <v>0</v>
      </c>
      <c r="U26" s="412">
        <f t="shared" si="8"/>
        <v>0</v>
      </c>
      <c r="V26" s="412">
        <f t="shared" si="8"/>
        <v>0</v>
      </c>
      <c r="W26" s="412">
        <f t="shared" si="8"/>
        <v>13.7800000000002</v>
      </c>
      <c r="X26" s="412">
        <f t="shared" si="8"/>
        <v>0</v>
      </c>
      <c r="Y26" s="412">
        <f t="shared" si="8"/>
        <v>0</v>
      </c>
      <c r="Z26" s="412">
        <f t="shared" si="8"/>
        <v>0</v>
      </c>
      <c r="AA26" s="412">
        <f t="shared" si="8"/>
        <v>0</v>
      </c>
      <c r="AB26" s="412">
        <f t="shared" si="8"/>
        <v>0</v>
      </c>
      <c r="AC26" s="412">
        <f t="shared" si="8"/>
        <v>0</v>
      </c>
      <c r="AD26" s="412">
        <f t="shared" si="8"/>
        <v>0</v>
      </c>
      <c r="AE26" s="412">
        <f t="shared" si="8"/>
        <v>0</v>
      </c>
      <c r="AF26" s="412">
        <f t="shared" si="8"/>
        <v>0</v>
      </c>
      <c r="AG26" s="412">
        <f t="shared" si="8"/>
        <v>-1.0000000000002274</v>
      </c>
      <c r="AH26" s="110">
        <f>SUM(C26:AG26)</f>
        <v>-21.279999999999717</v>
      </c>
    </row>
    <row r="27" spans="1:40" ht="16.5" thickBot="1" x14ac:dyDescent="0.3">
      <c r="A27" s="411"/>
      <c r="B27" s="181" t="s">
        <v>192</v>
      </c>
      <c r="C27" s="410">
        <f>SUM(C9:C13)-(C19+C21+C23)</f>
        <v>0</v>
      </c>
      <c r="D27" s="410">
        <f t="shared" ref="D27:AG27" si="9">SUM(D9:D13)-(D19+D21+D23)</f>
        <v>0</v>
      </c>
      <c r="E27" s="410">
        <f t="shared" si="9"/>
        <v>0</v>
      </c>
      <c r="F27" s="410">
        <f t="shared" si="9"/>
        <v>0</v>
      </c>
      <c r="G27" s="410">
        <f t="shared" si="9"/>
        <v>0</v>
      </c>
      <c r="H27" s="410">
        <f t="shared" si="9"/>
        <v>0</v>
      </c>
      <c r="I27" s="410">
        <f t="shared" si="9"/>
        <v>0</v>
      </c>
      <c r="J27" s="410">
        <f t="shared" si="9"/>
        <v>0</v>
      </c>
      <c r="K27" s="410">
        <f t="shared" si="9"/>
        <v>0</v>
      </c>
      <c r="L27" s="410">
        <f t="shared" si="9"/>
        <v>0</v>
      </c>
      <c r="M27" s="410">
        <f t="shared" si="9"/>
        <v>0</v>
      </c>
      <c r="N27" s="410">
        <f t="shared" si="9"/>
        <v>0</v>
      </c>
      <c r="O27" s="410">
        <f t="shared" si="9"/>
        <v>0</v>
      </c>
      <c r="P27" s="410">
        <f t="shared" si="9"/>
        <v>0</v>
      </c>
      <c r="Q27" s="410">
        <f t="shared" si="9"/>
        <v>0</v>
      </c>
      <c r="R27" s="410">
        <f t="shared" si="9"/>
        <v>0</v>
      </c>
      <c r="S27" s="410">
        <f t="shared" si="9"/>
        <v>0</v>
      </c>
      <c r="T27" s="410">
        <f t="shared" si="9"/>
        <v>0</v>
      </c>
      <c r="U27" s="410">
        <f t="shared" si="9"/>
        <v>0</v>
      </c>
      <c r="V27" s="410">
        <f t="shared" si="9"/>
        <v>0</v>
      </c>
      <c r="W27" s="410">
        <f t="shared" si="9"/>
        <v>0</v>
      </c>
      <c r="X27" s="410">
        <f t="shared" si="9"/>
        <v>0</v>
      </c>
      <c r="Y27" s="410">
        <f t="shared" si="9"/>
        <v>0</v>
      </c>
      <c r="Z27" s="410">
        <f t="shared" si="9"/>
        <v>0</v>
      </c>
      <c r="AA27" s="410">
        <f t="shared" si="9"/>
        <v>0</v>
      </c>
      <c r="AB27" s="410">
        <f t="shared" si="9"/>
        <v>0</v>
      </c>
      <c r="AC27" s="410">
        <f t="shared" si="9"/>
        <v>0</v>
      </c>
      <c r="AD27" s="410">
        <f t="shared" si="9"/>
        <v>6.9900000000000091</v>
      </c>
      <c r="AE27" s="410">
        <f>SUM(AE9:AE13)-(AE19+AE21+AE23)</f>
        <v>0</v>
      </c>
      <c r="AF27" s="410">
        <f t="shared" si="9"/>
        <v>0</v>
      </c>
      <c r="AG27" s="410">
        <f t="shared" si="9"/>
        <v>0</v>
      </c>
      <c r="AH27" s="112">
        <f>SUM(C27:AG27)</f>
        <v>6.9900000000000091</v>
      </c>
    </row>
    <row r="28" spans="1:40" ht="16.5" thickBot="1" x14ac:dyDescent="0.3">
      <c r="A28" s="442"/>
      <c r="B28" s="442"/>
      <c r="C28" s="443"/>
      <c r="D28" s="443"/>
      <c r="E28" s="443"/>
      <c r="F28" s="443"/>
      <c r="G28" s="443"/>
      <c r="H28" s="443"/>
      <c r="I28" s="443"/>
      <c r="J28" s="443"/>
      <c r="K28" s="443"/>
      <c r="L28" s="443"/>
      <c r="M28" s="443"/>
      <c r="N28" s="443"/>
      <c r="O28" s="443"/>
      <c r="P28" s="443"/>
      <c r="Q28" s="443"/>
      <c r="R28" s="443"/>
      <c r="S28" s="443"/>
      <c r="T28" s="443"/>
      <c r="U28" s="443"/>
      <c r="V28" s="443"/>
      <c r="W28" s="443"/>
      <c r="X28" s="443"/>
      <c r="Y28" s="443"/>
      <c r="Z28" s="443"/>
      <c r="AA28" s="443"/>
      <c r="AB28" s="443"/>
      <c r="AC28" s="443"/>
      <c r="AD28" s="443"/>
      <c r="AE28" s="443"/>
      <c r="AF28" s="443"/>
      <c r="AG28" s="443"/>
      <c r="AH28" s="444"/>
    </row>
    <row r="29" spans="1:40" ht="16.5" thickBot="1" x14ac:dyDescent="0.3">
      <c r="A29" s="445" t="s">
        <v>214</v>
      </c>
      <c r="B29" s="446" t="s">
        <v>207</v>
      </c>
      <c r="C29" s="446">
        <v>12.27</v>
      </c>
      <c r="D29" s="446">
        <v>4.43</v>
      </c>
      <c r="E29" s="446">
        <v>6.84</v>
      </c>
      <c r="F29" s="446">
        <v>4.4800000000000004</v>
      </c>
      <c r="G29" s="446">
        <v>7.13</v>
      </c>
      <c r="H29" s="446">
        <v>13.96</v>
      </c>
      <c r="I29" s="446">
        <v>13.96</v>
      </c>
      <c r="J29" s="446">
        <v>21.94</v>
      </c>
      <c r="K29" s="446">
        <v>4.47</v>
      </c>
      <c r="L29" s="446">
        <v>4.99</v>
      </c>
      <c r="M29" s="446">
        <v>15.16</v>
      </c>
      <c r="N29" s="470">
        <v>11.2</v>
      </c>
      <c r="O29" s="446">
        <v>12.33</v>
      </c>
      <c r="P29" s="446">
        <v>31.24</v>
      </c>
      <c r="Q29" s="446">
        <v>21.38</v>
      </c>
      <c r="R29" s="446">
        <v>11.07</v>
      </c>
      <c r="S29" s="446">
        <v>13.52</v>
      </c>
      <c r="T29" s="446">
        <v>11.81</v>
      </c>
      <c r="U29" s="446">
        <v>13.34</v>
      </c>
      <c r="V29" s="446">
        <v>13.47</v>
      </c>
      <c r="W29" s="446">
        <v>18.77</v>
      </c>
      <c r="X29" s="446">
        <v>27.83</v>
      </c>
      <c r="Y29" s="466">
        <v>16.77</v>
      </c>
      <c r="Z29" s="466">
        <v>17.12</v>
      </c>
      <c r="AA29" s="466">
        <f>16.52+1.26+3.24</f>
        <v>21.020000000000003</v>
      </c>
      <c r="AB29" s="466">
        <v>18.25</v>
      </c>
      <c r="AC29" s="466">
        <v>19.87</v>
      </c>
      <c r="AD29" s="466">
        <v>64.819999999999993</v>
      </c>
      <c r="AE29" s="466">
        <f>62.33+1.35</f>
        <v>63.68</v>
      </c>
      <c r="AF29" s="466">
        <v>49.35</v>
      </c>
      <c r="AG29" s="466">
        <v>31.05</v>
      </c>
      <c r="AH29" s="450">
        <f>SUM(C29:AG29)</f>
        <v>597.51999999999987</v>
      </c>
      <c r="AJ29" s="211" t="s">
        <v>214</v>
      </c>
      <c r="AK29" s="212" t="s">
        <v>209</v>
      </c>
      <c r="AL29" s="270">
        <f>SUM(C29:X29)</f>
        <v>295.58999999999997</v>
      </c>
      <c r="AM29" s="271">
        <f>SUM(Y29:AG29)</f>
        <v>301.93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2"/>
      <c r="B31" s="163" t="s">
        <v>57</v>
      </c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5"/>
      <c r="AJ31" s="486" t="s">
        <v>57</v>
      </c>
      <c r="AK31" s="487"/>
    </row>
    <row r="32" spans="1:40" x14ac:dyDescent="0.25">
      <c r="A32" s="166"/>
      <c r="B32" s="142" t="s">
        <v>76</v>
      </c>
      <c r="C32" s="143">
        <v>134</v>
      </c>
      <c r="D32" s="143">
        <v>48</v>
      </c>
      <c r="E32" s="143">
        <v>58</v>
      </c>
      <c r="F32" s="143">
        <v>52</v>
      </c>
      <c r="G32" s="143">
        <v>73</v>
      </c>
      <c r="H32" s="143">
        <v>100</v>
      </c>
      <c r="I32" s="143">
        <v>140</v>
      </c>
      <c r="J32" s="143">
        <v>178</v>
      </c>
      <c r="K32" s="143">
        <v>66</v>
      </c>
      <c r="L32" s="143">
        <v>81</v>
      </c>
      <c r="M32" s="143">
        <v>102</v>
      </c>
      <c r="N32" s="143">
        <v>87</v>
      </c>
      <c r="O32" s="143">
        <v>110</v>
      </c>
      <c r="P32" s="143">
        <v>230</v>
      </c>
      <c r="Q32" s="143">
        <v>196</v>
      </c>
      <c r="R32" s="143">
        <v>129</v>
      </c>
      <c r="S32" s="143">
        <v>99</v>
      </c>
      <c r="T32" s="143">
        <v>90</v>
      </c>
      <c r="U32" s="143">
        <v>136</v>
      </c>
      <c r="V32" s="143">
        <v>139</v>
      </c>
      <c r="W32" s="143">
        <v>221</v>
      </c>
      <c r="X32" s="143">
        <v>244</v>
      </c>
      <c r="Y32" s="143">
        <v>134</v>
      </c>
      <c r="Z32" s="143">
        <v>119</v>
      </c>
      <c r="AA32" s="143">
        <v>153</v>
      </c>
      <c r="AB32" s="143">
        <v>156</v>
      </c>
      <c r="AC32" s="143">
        <v>220</v>
      </c>
      <c r="AD32" s="143">
        <v>268</v>
      </c>
      <c r="AE32" s="143">
        <v>362</v>
      </c>
      <c r="AF32" s="143">
        <v>240</v>
      </c>
      <c r="AG32" s="143">
        <v>171</v>
      </c>
      <c r="AH32" s="409">
        <f>SUM(C32:AG32)</f>
        <v>4536</v>
      </c>
      <c r="AJ32" s="257">
        <f t="shared" ref="AJ32:AJ37" si="10">AH32+AH39</f>
        <v>5126</v>
      </c>
      <c r="AK32" s="258" t="s">
        <v>76</v>
      </c>
    </row>
    <row r="33" spans="1:37" x14ac:dyDescent="0.25">
      <c r="A33" s="166"/>
      <c r="B33" s="142" t="s">
        <v>75</v>
      </c>
      <c r="C33" s="143">
        <v>16</v>
      </c>
      <c r="D33" s="143">
        <f>'[1]TEMP Summary'!$T$22</f>
        <v>0</v>
      </c>
      <c r="E33" s="143">
        <v>7</v>
      </c>
      <c r="F33" s="143">
        <v>10</v>
      </c>
      <c r="G33" s="143">
        <f>'[1]TEMP Summary'!$T$22</f>
        <v>0</v>
      </c>
      <c r="H33" s="143">
        <v>11</v>
      </c>
      <c r="I33" s="143">
        <v>20</v>
      </c>
      <c r="J33" s="143">
        <v>33</v>
      </c>
      <c r="K33" s="143">
        <v>5</v>
      </c>
      <c r="L33" s="143">
        <v>5</v>
      </c>
      <c r="M33" s="143">
        <v>12</v>
      </c>
      <c r="N33" s="143">
        <v>9</v>
      </c>
      <c r="O33" s="143">
        <v>6</v>
      </c>
      <c r="P33" s="143">
        <v>55</v>
      </c>
      <c r="Q33" s="143">
        <v>43</v>
      </c>
      <c r="R33" s="143">
        <v>18</v>
      </c>
      <c r="S33" s="143">
        <v>16</v>
      </c>
      <c r="T33" s="143">
        <v>4</v>
      </c>
      <c r="U33" s="143">
        <v>2</v>
      </c>
      <c r="V33" s="143">
        <v>12</v>
      </c>
      <c r="W33" s="143">
        <v>34</v>
      </c>
      <c r="X33" s="143">
        <v>44</v>
      </c>
      <c r="Y33" s="143">
        <v>37</v>
      </c>
      <c r="Z33" s="143">
        <v>11</v>
      </c>
      <c r="AA33" s="143">
        <v>24</v>
      </c>
      <c r="AB33" s="143">
        <v>27</v>
      </c>
      <c r="AC33" s="143">
        <v>34</v>
      </c>
      <c r="AD33" s="143">
        <v>114</v>
      </c>
      <c r="AE33" s="143">
        <f>'[1]TEMP Summary'!$T$22</f>
        <v>0</v>
      </c>
      <c r="AF33" s="143">
        <v>89</v>
      </c>
      <c r="AG33" s="143">
        <v>56</v>
      </c>
      <c r="AH33" s="409">
        <f>SUM(C33:AG33)</f>
        <v>754</v>
      </c>
      <c r="AJ33" s="257">
        <f t="shared" si="10"/>
        <v>1020</v>
      </c>
      <c r="AK33" s="258" t="s">
        <v>75</v>
      </c>
    </row>
    <row r="34" spans="1:37" x14ac:dyDescent="0.25">
      <c r="A34" s="166"/>
      <c r="B34" s="142" t="s">
        <v>216</v>
      </c>
      <c r="C34" s="143">
        <v>5</v>
      </c>
      <c r="D34" s="143">
        <f>'[1]TEMP Summary'!$T$22</f>
        <v>0</v>
      </c>
      <c r="E34" s="143">
        <f>'[1]TEMP Summary'!$T$22</f>
        <v>0</v>
      </c>
      <c r="F34" s="143">
        <v>1</v>
      </c>
      <c r="G34" s="143">
        <f>'[1]TEMP Summary'!$T$22</f>
        <v>0</v>
      </c>
      <c r="H34" s="143">
        <f>'[1]TEMP Summary'!$T$22</f>
        <v>0</v>
      </c>
      <c r="I34" s="143">
        <v>1</v>
      </c>
      <c r="J34" s="143">
        <v>7</v>
      </c>
      <c r="K34" s="143">
        <f>'[1]TEMP Summary'!$T$22</f>
        <v>0</v>
      </c>
      <c r="L34" s="143">
        <f>'[1]TEMP Summary'!$T$22</f>
        <v>0</v>
      </c>
      <c r="M34" s="143">
        <v>4</v>
      </c>
      <c r="N34" s="143">
        <f>'[1]TEMP Summary'!$T$22</f>
        <v>0</v>
      </c>
      <c r="O34" s="143">
        <f>'[1]TEMP Summary'!$T$22</f>
        <v>0</v>
      </c>
      <c r="P34" s="143">
        <f>'[1]TEMP Summary'!$T$22</f>
        <v>0</v>
      </c>
      <c r="Q34" s="143">
        <v>5</v>
      </c>
      <c r="R34" s="143">
        <v>3</v>
      </c>
      <c r="S34" s="143">
        <f>'[1]TEMP Summary'!$T$22</f>
        <v>0</v>
      </c>
      <c r="T34" s="143">
        <f>'[1]TEMP Summary'!$T$22</f>
        <v>0</v>
      </c>
      <c r="U34" s="143">
        <f>'[1]TEMP Summary'!$T$22</f>
        <v>0</v>
      </c>
      <c r="V34" s="143">
        <f>'[1]TEMP Summary'!$T$22</f>
        <v>0</v>
      </c>
      <c r="W34" s="143">
        <f>'[1]TEMP Summary'!$T$22</f>
        <v>0</v>
      </c>
      <c r="X34" s="143">
        <v>9</v>
      </c>
      <c r="Y34" s="143">
        <v>5</v>
      </c>
      <c r="Z34" s="143">
        <f>'[1]TEMP Summary'!$T$22</f>
        <v>0</v>
      </c>
      <c r="AA34" s="143">
        <v>2</v>
      </c>
      <c r="AB34" s="143">
        <v>2</v>
      </c>
      <c r="AC34" s="143">
        <f>'[1]TEMP Summary'!$T$22</f>
        <v>0</v>
      </c>
      <c r="AD34" s="143">
        <v>2</v>
      </c>
      <c r="AE34" s="143">
        <f>'[1]TEMP Summary'!$T$22</f>
        <v>0</v>
      </c>
      <c r="AF34" s="143">
        <v>6</v>
      </c>
      <c r="AG34" s="143">
        <f>'[1]TEMP Summary'!$T$22</f>
        <v>0</v>
      </c>
      <c r="AH34" s="409">
        <f>SUM(C34:AG34)</f>
        <v>52</v>
      </c>
      <c r="AJ34" s="257">
        <f>AH34+AH41</f>
        <v>76</v>
      </c>
      <c r="AK34" s="258" t="s">
        <v>216</v>
      </c>
    </row>
    <row r="35" spans="1:37" x14ac:dyDescent="0.25">
      <c r="A35" s="166"/>
      <c r="B35" s="142" t="s">
        <v>73</v>
      </c>
      <c r="C35" s="143">
        <f>'[1]TEMP Summary'!$T$22</f>
        <v>0</v>
      </c>
      <c r="D35" s="143">
        <f>'[1]TEMP Summary'!$T$22</f>
        <v>0</v>
      </c>
      <c r="E35" s="143">
        <f>'[1]TEMP Summary'!$T$22</f>
        <v>0</v>
      </c>
      <c r="F35" s="143">
        <f>'[1]TEMP Summary'!$T$22</f>
        <v>0</v>
      </c>
      <c r="G35" s="143">
        <f>'[1]TEMP Summary'!$T$22</f>
        <v>0</v>
      </c>
      <c r="H35" s="143">
        <f>'[1]TEMP Summary'!$T$22</f>
        <v>0</v>
      </c>
      <c r="I35" s="143">
        <f>'[1]TEMP Summary'!$T$22</f>
        <v>0</v>
      </c>
      <c r="J35" s="143">
        <f>'[1]TEMP Summary'!$T$22</f>
        <v>0</v>
      </c>
      <c r="K35" s="143">
        <f>'[1]TEMP Summary'!$T$22</f>
        <v>0</v>
      </c>
      <c r="L35" s="143"/>
      <c r="M35" s="143">
        <f>'[1]TEMP Summary'!$T$22</f>
        <v>0</v>
      </c>
      <c r="N35" s="143">
        <f>'[1]TEMP Summary'!$T$22</f>
        <v>0</v>
      </c>
      <c r="O35" s="143">
        <f>'[1]TEMP Summary'!$T$22</f>
        <v>0</v>
      </c>
      <c r="P35" s="143">
        <f>'[1]TEMP Summary'!$T$22</f>
        <v>0</v>
      </c>
      <c r="Q35" s="143">
        <f>'[1]TEMP Summary'!$T$22</f>
        <v>0</v>
      </c>
      <c r="R35" s="143">
        <f>'[1]TEMP Summary'!$T$22</f>
        <v>0</v>
      </c>
      <c r="S35" s="143">
        <f>'[1]TEMP Summary'!$T$22</f>
        <v>0</v>
      </c>
      <c r="T35" s="143">
        <f>'[1]TEMP Summary'!$T$22</f>
        <v>0</v>
      </c>
      <c r="U35" s="143">
        <f>'[1]TEMP Summary'!$T$22</f>
        <v>0</v>
      </c>
      <c r="V35" s="143">
        <f>'[1]TEMP Summary'!$T$22</f>
        <v>0</v>
      </c>
      <c r="W35" s="143">
        <f>'[1]TEMP Summary'!$T$22</f>
        <v>0</v>
      </c>
      <c r="X35" s="143">
        <f>'[1]TEMP Summary'!$T$22</f>
        <v>0</v>
      </c>
      <c r="Y35" s="143">
        <f>'[1]TEMP Summary'!$T$22</f>
        <v>0</v>
      </c>
      <c r="Z35" s="143">
        <v>0</v>
      </c>
      <c r="AA35" s="143">
        <v>50</v>
      </c>
      <c r="AB35" s="143">
        <v>0</v>
      </c>
      <c r="AC35" s="143">
        <f>'[1]TEMP Summary'!$T$22</f>
        <v>0</v>
      </c>
      <c r="AD35" s="143">
        <f>'[1]TEMP Summary'!$T$22</f>
        <v>0</v>
      </c>
      <c r="AE35" s="143">
        <f>'[1]TEMP Summary'!$T$22</f>
        <v>0</v>
      </c>
      <c r="AF35" s="143">
        <v>15</v>
      </c>
      <c r="AG35" s="143">
        <f>'[1]TEMP Summary'!$T$22</f>
        <v>0</v>
      </c>
      <c r="AH35" s="409">
        <f>SUM(C35:AG35)</f>
        <v>65</v>
      </c>
      <c r="AJ35" s="257">
        <f t="shared" si="10"/>
        <v>80</v>
      </c>
      <c r="AK35" s="258" t="s">
        <v>73</v>
      </c>
    </row>
    <row r="36" spans="1:37" x14ac:dyDescent="0.25">
      <c r="A36" s="166"/>
      <c r="B36" s="142" t="s">
        <v>74</v>
      </c>
      <c r="C36" s="143">
        <v>14</v>
      </c>
      <c r="D36" s="143">
        <v>5</v>
      </c>
      <c r="E36" s="143">
        <v>15</v>
      </c>
      <c r="F36" s="143">
        <v>13</v>
      </c>
      <c r="G36" s="143">
        <v>32</v>
      </c>
      <c r="H36" s="143">
        <v>25</v>
      </c>
      <c r="I36" s="143">
        <v>24</v>
      </c>
      <c r="J36" s="143">
        <v>27</v>
      </c>
      <c r="K36" s="143">
        <v>24</v>
      </c>
      <c r="L36" s="143">
        <v>20</v>
      </c>
      <c r="M36" s="143">
        <v>26</v>
      </c>
      <c r="N36" s="143">
        <v>35</v>
      </c>
      <c r="O36" s="143">
        <v>33</v>
      </c>
      <c r="P36" s="143">
        <v>41</v>
      </c>
      <c r="Q36" s="143">
        <v>46</v>
      </c>
      <c r="R36" s="143">
        <v>32</v>
      </c>
      <c r="S36" s="143">
        <v>47</v>
      </c>
      <c r="T36" s="143">
        <v>36</v>
      </c>
      <c r="U36" s="143">
        <v>48</v>
      </c>
      <c r="V36" s="143">
        <v>30</v>
      </c>
      <c r="W36" s="143">
        <v>51</v>
      </c>
      <c r="X36" s="143">
        <v>41</v>
      </c>
      <c r="Y36" s="143">
        <v>32</v>
      </c>
      <c r="Z36" s="143">
        <v>71</v>
      </c>
      <c r="AA36" s="143">
        <v>57</v>
      </c>
      <c r="AB36" s="143">
        <v>54</v>
      </c>
      <c r="AC36" s="143">
        <v>36</v>
      </c>
      <c r="AD36" s="143">
        <v>42</v>
      </c>
      <c r="AE36" s="143">
        <v>24</v>
      </c>
      <c r="AF36" s="143">
        <v>40</v>
      </c>
      <c r="AG36" s="143">
        <v>55</v>
      </c>
      <c r="AH36" s="409">
        <f>SUM(C36:AG36)</f>
        <v>1076</v>
      </c>
      <c r="AJ36" s="257">
        <f t="shared" si="10"/>
        <v>1146</v>
      </c>
      <c r="AK36" s="258" t="s">
        <v>74</v>
      </c>
    </row>
    <row r="37" spans="1:37" x14ac:dyDescent="0.25">
      <c r="A37" s="166"/>
      <c r="B37" s="142" t="s">
        <v>72</v>
      </c>
      <c r="C37" s="143">
        <v>2</v>
      </c>
      <c r="D37" s="143">
        <v>1</v>
      </c>
      <c r="E37" s="143">
        <f>'[1]TEMP Summary'!$T$22</f>
        <v>0</v>
      </c>
      <c r="F37" s="143">
        <v>0</v>
      </c>
      <c r="G37" s="143">
        <v>1</v>
      </c>
      <c r="H37" s="143">
        <v>1</v>
      </c>
      <c r="I37" s="143">
        <v>1</v>
      </c>
      <c r="J37" s="143">
        <v>6</v>
      </c>
      <c r="K37" s="143">
        <v>5</v>
      </c>
      <c r="L37" s="143">
        <v>4</v>
      </c>
      <c r="M37" s="143">
        <v>4</v>
      </c>
      <c r="N37" s="143">
        <v>7</v>
      </c>
      <c r="O37" s="143">
        <v>8</v>
      </c>
      <c r="P37" s="143">
        <v>4</v>
      </c>
      <c r="Q37" s="143">
        <v>7</v>
      </c>
      <c r="R37" s="143">
        <v>9</v>
      </c>
      <c r="S37" s="143">
        <v>11</v>
      </c>
      <c r="T37" s="143">
        <v>4</v>
      </c>
      <c r="U37" s="143">
        <v>9</v>
      </c>
      <c r="V37" s="143">
        <v>5</v>
      </c>
      <c r="W37" s="143">
        <v>9</v>
      </c>
      <c r="X37" s="143">
        <v>7</v>
      </c>
      <c r="Y37" s="143">
        <v>8</v>
      </c>
      <c r="Z37" s="143">
        <v>10</v>
      </c>
      <c r="AA37" s="143">
        <v>11</v>
      </c>
      <c r="AB37" s="143">
        <v>8</v>
      </c>
      <c r="AC37" s="143">
        <v>1</v>
      </c>
      <c r="AD37" s="143">
        <v>11</v>
      </c>
      <c r="AE37" s="143">
        <f>'[1]TEMP Summary'!$T$22</f>
        <v>0</v>
      </c>
      <c r="AF37" s="143">
        <v>2</v>
      </c>
      <c r="AG37" s="143">
        <v>5</v>
      </c>
      <c r="AH37" s="409">
        <f t="shared" ref="AH37:AH45" si="11">SUM(C37:AG37)</f>
        <v>161</v>
      </c>
      <c r="AJ37" s="257">
        <f t="shared" si="10"/>
        <v>171</v>
      </c>
      <c r="AK37" s="258" t="s">
        <v>72</v>
      </c>
    </row>
    <row r="38" spans="1:37" ht="15.75" thickBot="1" x14ac:dyDescent="0.3">
      <c r="A38" s="166"/>
      <c r="B38" s="437" t="s">
        <v>191</v>
      </c>
      <c r="C38" s="438">
        <f t="shared" ref="C38:AG38" si="12">SUM(C32:C37)</f>
        <v>171</v>
      </c>
      <c r="D38" s="438">
        <f t="shared" si="12"/>
        <v>54</v>
      </c>
      <c r="E38" s="438">
        <f t="shared" si="12"/>
        <v>80</v>
      </c>
      <c r="F38" s="438">
        <f t="shared" si="12"/>
        <v>76</v>
      </c>
      <c r="G38" s="438">
        <f t="shared" si="12"/>
        <v>106</v>
      </c>
      <c r="H38" s="438">
        <f t="shared" si="12"/>
        <v>137</v>
      </c>
      <c r="I38" s="438">
        <f t="shared" si="12"/>
        <v>186</v>
      </c>
      <c r="J38" s="438">
        <f t="shared" si="12"/>
        <v>251</v>
      </c>
      <c r="K38" s="438">
        <f t="shared" si="12"/>
        <v>100</v>
      </c>
      <c r="L38" s="438">
        <f t="shared" si="12"/>
        <v>110</v>
      </c>
      <c r="M38" s="438">
        <f t="shared" si="12"/>
        <v>148</v>
      </c>
      <c r="N38" s="438">
        <f t="shared" si="12"/>
        <v>138</v>
      </c>
      <c r="O38" s="438">
        <f t="shared" si="12"/>
        <v>157</v>
      </c>
      <c r="P38" s="438">
        <f t="shared" si="12"/>
        <v>330</v>
      </c>
      <c r="Q38" s="438">
        <f t="shared" si="12"/>
        <v>297</v>
      </c>
      <c r="R38" s="438">
        <f t="shared" si="12"/>
        <v>191</v>
      </c>
      <c r="S38" s="438">
        <f t="shared" si="12"/>
        <v>173</v>
      </c>
      <c r="T38" s="438">
        <f t="shared" si="12"/>
        <v>134</v>
      </c>
      <c r="U38" s="438">
        <f t="shared" si="12"/>
        <v>195</v>
      </c>
      <c r="V38" s="438">
        <f t="shared" si="12"/>
        <v>186</v>
      </c>
      <c r="W38" s="438">
        <f t="shared" si="12"/>
        <v>315</v>
      </c>
      <c r="X38" s="438">
        <f t="shared" si="12"/>
        <v>345</v>
      </c>
      <c r="Y38" s="438">
        <f t="shared" si="12"/>
        <v>216</v>
      </c>
      <c r="Z38" s="438">
        <f t="shared" si="12"/>
        <v>211</v>
      </c>
      <c r="AA38" s="438">
        <f t="shared" si="12"/>
        <v>297</v>
      </c>
      <c r="AB38" s="438">
        <f t="shared" si="12"/>
        <v>247</v>
      </c>
      <c r="AC38" s="438">
        <f t="shared" si="12"/>
        <v>291</v>
      </c>
      <c r="AD38" s="438">
        <f t="shared" si="12"/>
        <v>437</v>
      </c>
      <c r="AE38" s="438">
        <f t="shared" si="12"/>
        <v>386</v>
      </c>
      <c r="AF38" s="438">
        <f>SUM(AF32:AF37)</f>
        <v>392</v>
      </c>
      <c r="AG38" s="438">
        <f t="shared" si="12"/>
        <v>287</v>
      </c>
      <c r="AH38" s="408">
        <f t="shared" si="11"/>
        <v>6644</v>
      </c>
      <c r="AJ38" s="257"/>
      <c r="AK38" s="258"/>
    </row>
    <row r="39" spans="1:37" x14ac:dyDescent="0.25">
      <c r="A39" s="166"/>
      <c r="B39" s="142" t="s">
        <v>76</v>
      </c>
      <c r="C39" s="139">
        <f>'[1]TEMP Summary'!$T$22</f>
        <v>0</v>
      </c>
      <c r="D39" s="139">
        <f>'[1]TEMP Summary'!$T$22</f>
        <v>0</v>
      </c>
      <c r="E39" s="139">
        <f>'[1]TEMP Summary'!$T$22</f>
        <v>0</v>
      </c>
      <c r="F39" s="139">
        <f>'[1]TEMP Summary'!$T$22</f>
        <v>0</v>
      </c>
      <c r="G39" s="139">
        <f>'[1]TEMP Summary'!$T$22</f>
        <v>0</v>
      </c>
      <c r="H39" s="139">
        <f>'[1]TEMP Summary'!$T$22</f>
        <v>0</v>
      </c>
      <c r="I39" s="139">
        <f>'[1]TEMP Summary'!$T$22</f>
        <v>0</v>
      </c>
      <c r="J39" s="139">
        <f>'[1]TEMP Summary'!$T$22</f>
        <v>0</v>
      </c>
      <c r="K39" s="139">
        <f>'[1]TEMP Summary'!$T$22</f>
        <v>0</v>
      </c>
      <c r="L39" s="139">
        <f>'[1]TEMP Summary'!$T$22</f>
        <v>0</v>
      </c>
      <c r="M39" s="139">
        <f>'[1]TEMP Summary'!$T$22</f>
        <v>0</v>
      </c>
      <c r="N39" s="139">
        <f>'[1]TEMP Summary'!$T$22</f>
        <v>0</v>
      </c>
      <c r="O39" s="139">
        <f>'[1]TEMP Summary'!$T$22</f>
        <v>0</v>
      </c>
      <c r="P39" s="139">
        <f>'[1]TEMP Summary'!$T$22</f>
        <v>0</v>
      </c>
      <c r="Q39" s="139">
        <f>'[1]TEMP Summary'!$T$22</f>
        <v>0</v>
      </c>
      <c r="R39" s="139">
        <f>'[1]TEMP Summary'!$T$22</f>
        <v>0</v>
      </c>
      <c r="S39" s="139">
        <f>'[1]TEMP Summary'!$T$22</f>
        <v>0</v>
      </c>
      <c r="T39" s="139">
        <f>'[1]TEMP Summary'!$T$22</f>
        <v>0</v>
      </c>
      <c r="U39" s="139">
        <f>'[1]TEMP Summary'!$T$22</f>
        <v>0</v>
      </c>
      <c r="V39" s="139">
        <f>'[1]TEMP Summary'!$T$22</f>
        <v>0</v>
      </c>
      <c r="W39" s="139">
        <f>'[1]TEMP Summary'!$T$22</f>
        <v>0</v>
      </c>
      <c r="X39" s="139">
        <f>'[1]TEMP Summary'!$T$22</f>
        <v>0</v>
      </c>
      <c r="Y39" s="139">
        <f>'[1]TEMP Summary'!$T$22</f>
        <v>0</v>
      </c>
      <c r="Z39" s="139">
        <f>'[1]TEMP Summary'!$T$22</f>
        <v>0</v>
      </c>
      <c r="AA39" s="139">
        <f>'[1]TEMP Summary'!$T$22</f>
        <v>0</v>
      </c>
      <c r="AB39" s="139">
        <f>'[1]TEMP Summary'!$T$22</f>
        <v>0</v>
      </c>
      <c r="AC39" s="139">
        <f>'[1]TEMP Summary'!$T$22</f>
        <v>0</v>
      </c>
      <c r="AD39" s="139">
        <f>457-AD32</f>
        <v>189</v>
      </c>
      <c r="AE39" s="139">
        <f>562-AE32</f>
        <v>200</v>
      </c>
      <c r="AF39" s="139">
        <f>367-AF32</f>
        <v>127</v>
      </c>
      <c r="AG39" s="140">
        <f>245-AG32</f>
        <v>74</v>
      </c>
      <c r="AH39" s="141">
        <f t="shared" si="11"/>
        <v>590</v>
      </c>
      <c r="AJ39" s="257"/>
      <c r="AK39" s="258"/>
    </row>
    <row r="40" spans="1:37" x14ac:dyDescent="0.25">
      <c r="A40" s="166"/>
      <c r="B40" s="142" t="s">
        <v>75</v>
      </c>
      <c r="C40" s="143">
        <f>'[1]TEMP Summary'!$T$22</f>
        <v>0</v>
      </c>
      <c r="D40" s="143">
        <f>'[1]TEMP Summary'!$T$22</f>
        <v>0</v>
      </c>
      <c r="E40" s="143">
        <f>'[1]TEMP Summary'!$T$22</f>
        <v>0</v>
      </c>
      <c r="F40" s="143">
        <f>'[1]TEMP Summary'!$T$22</f>
        <v>0</v>
      </c>
      <c r="G40" s="143">
        <f>'[1]TEMP Summary'!$T$22</f>
        <v>0</v>
      </c>
      <c r="H40" s="143">
        <f>'[1]TEMP Summary'!$T$22</f>
        <v>0</v>
      </c>
      <c r="I40" s="143">
        <f>'[1]TEMP Summary'!$T$22</f>
        <v>0</v>
      </c>
      <c r="J40" s="143">
        <f>'[1]TEMP Summary'!$T$22</f>
        <v>0</v>
      </c>
      <c r="K40" s="143">
        <f>'[1]TEMP Summary'!$T$22</f>
        <v>0</v>
      </c>
      <c r="L40" s="143">
        <f>'[1]TEMP Summary'!$T$22</f>
        <v>0</v>
      </c>
      <c r="M40" s="143">
        <f>'[1]TEMP Summary'!$T$22</f>
        <v>0</v>
      </c>
      <c r="N40" s="143">
        <f>'[1]TEMP Summary'!$T$22</f>
        <v>0</v>
      </c>
      <c r="O40" s="143">
        <f>'[1]TEMP Summary'!$T$22</f>
        <v>0</v>
      </c>
      <c r="P40" s="143">
        <f>'[1]TEMP Summary'!$T$22</f>
        <v>0</v>
      </c>
      <c r="Q40" s="143">
        <f>'[1]TEMP Summary'!$T$22</f>
        <v>0</v>
      </c>
      <c r="R40" s="143">
        <f>'[1]TEMP Summary'!$T$22</f>
        <v>0</v>
      </c>
      <c r="S40" s="143">
        <f>'[1]TEMP Summary'!$T$22</f>
        <v>0</v>
      </c>
      <c r="T40" s="143">
        <f>'[1]TEMP Summary'!$T$22</f>
        <v>0</v>
      </c>
      <c r="U40" s="143">
        <f>'[1]TEMP Summary'!$T$22</f>
        <v>0</v>
      </c>
      <c r="V40" s="143">
        <f>'[1]TEMP Summary'!$T$22</f>
        <v>0</v>
      </c>
      <c r="W40" s="143">
        <f>'[1]TEMP Summary'!$T$22</f>
        <v>0</v>
      </c>
      <c r="X40" s="143">
        <f>'[1]TEMP Summary'!$T$22</f>
        <v>0</v>
      </c>
      <c r="Y40" s="143">
        <f>'[1]TEMP Summary'!$T$22</f>
        <v>0</v>
      </c>
      <c r="Z40" s="143">
        <f>'[1]TEMP Summary'!$T$22</f>
        <v>0</v>
      </c>
      <c r="AA40" s="143">
        <f>'[1]TEMP Summary'!$T$22</f>
        <v>0</v>
      </c>
      <c r="AB40" s="143">
        <f>'[1]TEMP Summary'!$T$22</f>
        <v>0</v>
      </c>
      <c r="AC40" s="143">
        <f>'[1]TEMP Summary'!$T$22</f>
        <v>0</v>
      </c>
      <c r="AD40" s="143">
        <f>161-AD33</f>
        <v>47</v>
      </c>
      <c r="AE40" s="143">
        <v>167</v>
      </c>
      <c r="AF40" s="143">
        <f>122-AF33</f>
        <v>33</v>
      </c>
      <c r="AG40" s="144">
        <f>75-AG33</f>
        <v>19</v>
      </c>
      <c r="AH40" s="141">
        <f t="shared" si="11"/>
        <v>266</v>
      </c>
      <c r="AJ40" s="257"/>
      <c r="AK40" s="258"/>
    </row>
    <row r="41" spans="1:37" x14ac:dyDescent="0.25">
      <c r="A41" s="166"/>
      <c r="B41" s="142" t="s">
        <v>216</v>
      </c>
      <c r="C41" s="143">
        <f>'[1]TEMP Summary'!$T$22</f>
        <v>0</v>
      </c>
      <c r="D41" s="143">
        <f>'[1]TEMP Summary'!$T$22</f>
        <v>0</v>
      </c>
      <c r="E41" s="143">
        <f>'[1]TEMP Summary'!$T$22</f>
        <v>0</v>
      </c>
      <c r="F41" s="143">
        <f>'[1]TEMP Summary'!$T$22</f>
        <v>0</v>
      </c>
      <c r="G41" s="143">
        <f>'[1]TEMP Summary'!$T$22</f>
        <v>0</v>
      </c>
      <c r="H41" s="143">
        <f>'[1]TEMP Summary'!$T$22</f>
        <v>0</v>
      </c>
      <c r="I41" s="143">
        <f>'[1]TEMP Summary'!$T$22</f>
        <v>0</v>
      </c>
      <c r="J41" s="143">
        <f>'[1]TEMP Summary'!$T$22</f>
        <v>0</v>
      </c>
      <c r="K41" s="143">
        <f>'[1]TEMP Summary'!$T$22</f>
        <v>0</v>
      </c>
      <c r="L41" s="143">
        <f>'[1]TEMP Summary'!$T$22</f>
        <v>0</v>
      </c>
      <c r="M41" s="143">
        <f>'[1]TEMP Summary'!$T$22</f>
        <v>0</v>
      </c>
      <c r="N41" s="143">
        <f>'[1]TEMP Summary'!$T$22</f>
        <v>0</v>
      </c>
      <c r="O41" s="143">
        <f>'[1]TEMP Summary'!$T$22</f>
        <v>0</v>
      </c>
      <c r="P41" s="143">
        <f>'[1]TEMP Summary'!$T$22</f>
        <v>0</v>
      </c>
      <c r="Q41" s="143">
        <f>'[1]TEMP Summary'!$T$22</f>
        <v>0</v>
      </c>
      <c r="R41" s="143">
        <f>'[1]TEMP Summary'!$T$22</f>
        <v>0</v>
      </c>
      <c r="S41" s="143">
        <f>'[1]TEMP Summary'!$T$22</f>
        <v>0</v>
      </c>
      <c r="T41" s="143">
        <f>'[1]TEMP Summary'!$T$22</f>
        <v>0</v>
      </c>
      <c r="U41" s="143">
        <f>'[1]TEMP Summary'!$T$22</f>
        <v>0</v>
      </c>
      <c r="V41" s="143">
        <f>'[1]TEMP Summary'!$T$22</f>
        <v>0</v>
      </c>
      <c r="W41" s="143">
        <f>'[1]TEMP Summary'!$T$22</f>
        <v>0</v>
      </c>
      <c r="X41" s="143">
        <f>'[1]TEMP Summary'!$T$22</f>
        <v>0</v>
      </c>
      <c r="Y41" s="143">
        <f>'[1]TEMP Summary'!$T$22</f>
        <v>0</v>
      </c>
      <c r="Z41" s="143">
        <f>'[1]TEMP Summary'!$T$22</f>
        <v>0</v>
      </c>
      <c r="AA41" s="143">
        <f>'[1]TEMP Summary'!$T$22</f>
        <v>0</v>
      </c>
      <c r="AB41" s="143">
        <f>'[1]TEMP Summary'!$T$22</f>
        <v>0</v>
      </c>
      <c r="AC41" s="143">
        <f>'[1]TEMP Summary'!$T$22</f>
        <v>0</v>
      </c>
      <c r="AD41" s="143">
        <f>3-AD34</f>
        <v>1</v>
      </c>
      <c r="AE41" s="143">
        <v>23</v>
      </c>
      <c r="AF41" s="143">
        <v>0</v>
      </c>
      <c r="AG41" s="144">
        <f>'[1]TEMP Summary'!$T$22</f>
        <v>0</v>
      </c>
      <c r="AH41" s="141">
        <f t="shared" si="11"/>
        <v>24</v>
      </c>
      <c r="AJ41" s="257"/>
      <c r="AK41" s="258"/>
    </row>
    <row r="42" spans="1:37" x14ac:dyDescent="0.25">
      <c r="A42" s="166"/>
      <c r="B42" s="142" t="s">
        <v>73</v>
      </c>
      <c r="C42" s="143">
        <f>'[1]TEMP Summary'!$T$22</f>
        <v>0</v>
      </c>
      <c r="D42" s="143">
        <f>'[1]TEMP Summary'!$T$22</f>
        <v>0</v>
      </c>
      <c r="E42" s="143">
        <f>'[1]TEMP Summary'!$T$22</f>
        <v>0</v>
      </c>
      <c r="F42" s="143">
        <f>'[1]TEMP Summary'!$T$22</f>
        <v>0</v>
      </c>
      <c r="G42" s="143">
        <f>'[1]TEMP Summary'!$T$22</f>
        <v>0</v>
      </c>
      <c r="H42" s="143">
        <f>'[1]TEMP Summary'!$T$22</f>
        <v>0</v>
      </c>
      <c r="I42" s="143">
        <f>'[1]TEMP Summary'!$T$22</f>
        <v>0</v>
      </c>
      <c r="J42" s="143">
        <f>'[1]TEMP Summary'!$T$22</f>
        <v>0</v>
      </c>
      <c r="K42" s="143">
        <f>'[1]TEMP Summary'!$T$22</f>
        <v>0</v>
      </c>
      <c r="L42" s="143">
        <f>'[1]TEMP Summary'!$T$22</f>
        <v>0</v>
      </c>
      <c r="M42" s="143">
        <f>'[1]TEMP Summary'!$T$22</f>
        <v>0</v>
      </c>
      <c r="N42" s="143">
        <f>'[1]TEMP Summary'!$T$22</f>
        <v>0</v>
      </c>
      <c r="O42" s="143">
        <f>'[1]TEMP Summary'!$T$22</f>
        <v>0</v>
      </c>
      <c r="P42" s="143">
        <f>'[1]TEMP Summary'!$T$22</f>
        <v>0</v>
      </c>
      <c r="Q42" s="143">
        <f>'[1]TEMP Summary'!$T$22</f>
        <v>0</v>
      </c>
      <c r="R42" s="143">
        <f>'[1]TEMP Summary'!$T$22</f>
        <v>0</v>
      </c>
      <c r="S42" s="143">
        <f>'[1]TEMP Summary'!$T$22</f>
        <v>0</v>
      </c>
      <c r="T42" s="143">
        <f>'[1]TEMP Summary'!$T$22</f>
        <v>0</v>
      </c>
      <c r="U42" s="143">
        <f>'[1]TEMP Summary'!$T$22</f>
        <v>0</v>
      </c>
      <c r="V42" s="143">
        <f>'[1]TEMP Summary'!$T$22</f>
        <v>0</v>
      </c>
      <c r="W42" s="143">
        <f>'[1]TEMP Summary'!$T$22</f>
        <v>0</v>
      </c>
      <c r="X42" s="143">
        <f>'[1]TEMP Summary'!$T$22</f>
        <v>0</v>
      </c>
      <c r="Y42" s="143">
        <f>'[1]TEMP Summary'!$T$22</f>
        <v>0</v>
      </c>
      <c r="Z42" s="143">
        <f>'[1]TEMP Summary'!$T$22</f>
        <v>0</v>
      </c>
      <c r="AA42" s="143">
        <f>'[1]TEMP Summary'!$T$22</f>
        <v>0</v>
      </c>
      <c r="AB42" s="143">
        <f>'[1]TEMP Summary'!$T$22</f>
        <v>0</v>
      </c>
      <c r="AC42" s="143">
        <f>'[1]TEMP Summary'!$T$22</f>
        <v>0</v>
      </c>
      <c r="AD42" s="143">
        <f>'[1]TEMP Summary'!$T$22</f>
        <v>0</v>
      </c>
      <c r="AE42" s="143">
        <v>15</v>
      </c>
      <c r="AF42" s="143">
        <f>'[1]TEMP Summary'!$T$22</f>
        <v>0</v>
      </c>
      <c r="AG42" s="144">
        <f>'[1]TEMP Summary'!$T$22</f>
        <v>0</v>
      </c>
      <c r="AH42" s="141">
        <f t="shared" si="11"/>
        <v>15</v>
      </c>
      <c r="AJ42" s="257"/>
      <c r="AK42" s="258"/>
    </row>
    <row r="43" spans="1:37" x14ac:dyDescent="0.25">
      <c r="A43" s="166"/>
      <c r="B43" s="142" t="s">
        <v>74</v>
      </c>
      <c r="C43" s="143">
        <f>'[1]TEMP Summary'!$T$22</f>
        <v>0</v>
      </c>
      <c r="D43" s="143">
        <f>'[1]TEMP Summary'!$T$22</f>
        <v>0</v>
      </c>
      <c r="E43" s="143">
        <f>'[1]TEMP Summary'!$T$22</f>
        <v>0</v>
      </c>
      <c r="F43" s="143">
        <f>'[1]TEMP Summary'!$T$22</f>
        <v>0</v>
      </c>
      <c r="G43" s="143">
        <f>'[1]TEMP Summary'!$T$22</f>
        <v>0</v>
      </c>
      <c r="H43" s="143">
        <f>'[1]TEMP Summary'!$T$22</f>
        <v>0</v>
      </c>
      <c r="I43" s="143">
        <f>'[1]TEMP Summary'!$T$22</f>
        <v>0</v>
      </c>
      <c r="J43" s="143">
        <f>'[1]TEMP Summary'!$T$22</f>
        <v>0</v>
      </c>
      <c r="K43" s="143">
        <f>'[1]TEMP Summary'!$T$22</f>
        <v>0</v>
      </c>
      <c r="L43" s="143">
        <f>'[1]TEMP Summary'!$T$22</f>
        <v>0</v>
      </c>
      <c r="M43" s="143">
        <f>'[1]TEMP Summary'!$T$22</f>
        <v>0</v>
      </c>
      <c r="N43" s="143">
        <f>'[1]TEMP Summary'!$T$22</f>
        <v>0</v>
      </c>
      <c r="O43" s="143">
        <f>'[1]TEMP Summary'!$T$22</f>
        <v>0</v>
      </c>
      <c r="P43" s="143">
        <f>'[1]TEMP Summary'!$T$22</f>
        <v>0</v>
      </c>
      <c r="Q43" s="143">
        <f>'[1]TEMP Summary'!$T$22</f>
        <v>0</v>
      </c>
      <c r="R43" s="143">
        <f>'[1]TEMP Summary'!$T$22</f>
        <v>0</v>
      </c>
      <c r="S43" s="143">
        <f>'[1]TEMP Summary'!$T$22</f>
        <v>0</v>
      </c>
      <c r="T43" s="143">
        <f>'[1]TEMP Summary'!$T$22</f>
        <v>0</v>
      </c>
      <c r="U43" s="143">
        <f>'[1]TEMP Summary'!$T$22</f>
        <v>0</v>
      </c>
      <c r="V43" s="143">
        <f>'[1]TEMP Summary'!$T$22</f>
        <v>0</v>
      </c>
      <c r="W43" s="143">
        <f>'[1]TEMP Summary'!$T$22</f>
        <v>0</v>
      </c>
      <c r="X43" s="143">
        <f>'[1]TEMP Summary'!$T$22</f>
        <v>0</v>
      </c>
      <c r="Y43" s="143">
        <f>'[1]TEMP Summary'!$T$22</f>
        <v>0</v>
      </c>
      <c r="Z43" s="143">
        <f>'[1]TEMP Summary'!$T$22</f>
        <v>0</v>
      </c>
      <c r="AA43" s="143">
        <f>'[1]TEMP Summary'!$T$22</f>
        <v>0</v>
      </c>
      <c r="AB43" s="143">
        <f>'[1]TEMP Summary'!$T$22</f>
        <v>0</v>
      </c>
      <c r="AC43" s="143">
        <f>'[1]TEMP Summary'!$T$22</f>
        <v>0</v>
      </c>
      <c r="AD43" s="143">
        <f>48-AD36</f>
        <v>6</v>
      </c>
      <c r="AE43" s="143">
        <f>45-AE36</f>
        <v>21</v>
      </c>
      <c r="AF43" s="143">
        <f>67-AF36</f>
        <v>27</v>
      </c>
      <c r="AG43" s="144">
        <f>71-AG36</f>
        <v>16</v>
      </c>
      <c r="AH43" s="141">
        <f t="shared" si="11"/>
        <v>70</v>
      </c>
      <c r="AJ43" s="257"/>
      <c r="AK43" s="258"/>
    </row>
    <row r="44" spans="1:37" x14ac:dyDescent="0.25">
      <c r="A44" s="166"/>
      <c r="B44" s="142" t="s">
        <v>72</v>
      </c>
      <c r="C44" s="143">
        <f>'[1]TEMP Summary'!$T$22</f>
        <v>0</v>
      </c>
      <c r="D44" s="143">
        <f>'[1]TEMP Summary'!$T$22</f>
        <v>0</v>
      </c>
      <c r="E44" s="143">
        <f>'[1]TEMP Summary'!$T$22</f>
        <v>0</v>
      </c>
      <c r="F44" s="143">
        <f>'[1]TEMP Summary'!$T$22</f>
        <v>0</v>
      </c>
      <c r="G44" s="143">
        <f>'[1]TEMP Summary'!$T$22</f>
        <v>0</v>
      </c>
      <c r="H44" s="143">
        <f>'[1]TEMP Summary'!$T$22</f>
        <v>0</v>
      </c>
      <c r="I44" s="143">
        <f>'[1]TEMP Summary'!$T$22</f>
        <v>0</v>
      </c>
      <c r="J44" s="143">
        <f>'[1]TEMP Summary'!$T$22</f>
        <v>0</v>
      </c>
      <c r="K44" s="143">
        <f>'[1]TEMP Summary'!$T$22</f>
        <v>0</v>
      </c>
      <c r="L44" s="143">
        <f>'[1]TEMP Summary'!$T$22</f>
        <v>0</v>
      </c>
      <c r="M44" s="143">
        <f>'[1]TEMP Summary'!$T$22</f>
        <v>0</v>
      </c>
      <c r="N44" s="143">
        <f>'[1]TEMP Summary'!$T$22</f>
        <v>0</v>
      </c>
      <c r="O44" s="143">
        <f>'[1]TEMP Summary'!$T$22</f>
        <v>0</v>
      </c>
      <c r="P44" s="143">
        <f>'[1]TEMP Summary'!$T$22</f>
        <v>0</v>
      </c>
      <c r="Q44" s="143">
        <f>'[1]TEMP Summary'!$T$22</f>
        <v>0</v>
      </c>
      <c r="R44" s="143">
        <f>'[1]TEMP Summary'!$T$22</f>
        <v>0</v>
      </c>
      <c r="S44" s="143">
        <f>'[1]TEMP Summary'!$T$22</f>
        <v>0</v>
      </c>
      <c r="T44" s="143">
        <f>'[1]TEMP Summary'!$T$22</f>
        <v>0</v>
      </c>
      <c r="U44" s="143">
        <f>'[1]TEMP Summary'!$T$22</f>
        <v>0</v>
      </c>
      <c r="V44" s="143">
        <f>'[1]TEMP Summary'!$T$22</f>
        <v>0</v>
      </c>
      <c r="W44" s="143">
        <f>'[1]TEMP Summary'!$T$22</f>
        <v>0</v>
      </c>
      <c r="X44" s="143">
        <f>'[1]TEMP Summary'!$T$22</f>
        <v>0</v>
      </c>
      <c r="Y44" s="143">
        <f>'[1]TEMP Summary'!$T$22</f>
        <v>0</v>
      </c>
      <c r="Z44" s="143">
        <f>'[1]TEMP Summary'!$T$22</f>
        <v>0</v>
      </c>
      <c r="AA44" s="143">
        <f>'[1]TEMP Summary'!$T$22</f>
        <v>0</v>
      </c>
      <c r="AB44" s="143">
        <f>'[1]TEMP Summary'!$T$22</f>
        <v>0</v>
      </c>
      <c r="AC44" s="143">
        <f>'[1]TEMP Summary'!$T$22</f>
        <v>0</v>
      </c>
      <c r="AD44" s="143">
        <f>15-AD37</f>
        <v>4</v>
      </c>
      <c r="AE44" s="143">
        <v>1</v>
      </c>
      <c r="AF44" s="143">
        <f>6-AF37</f>
        <v>4</v>
      </c>
      <c r="AG44" s="144">
        <f>6-AG37</f>
        <v>1</v>
      </c>
      <c r="AH44" s="141">
        <f t="shared" si="11"/>
        <v>10</v>
      </c>
      <c r="AJ44" s="257"/>
      <c r="AK44" s="259"/>
    </row>
    <row r="45" spans="1:37" x14ac:dyDescent="0.25">
      <c r="A45" s="166"/>
      <c r="B45" s="440" t="s">
        <v>190</v>
      </c>
      <c r="C45" s="438">
        <f>SUM(C39:C44)</f>
        <v>0</v>
      </c>
      <c r="D45" s="438">
        <f t="shared" ref="D45:AG45" si="13">SUM(D39:D44)</f>
        <v>0</v>
      </c>
      <c r="E45" s="438">
        <f t="shared" si="13"/>
        <v>0</v>
      </c>
      <c r="F45" s="438">
        <f t="shared" si="13"/>
        <v>0</v>
      </c>
      <c r="G45" s="438">
        <f t="shared" si="13"/>
        <v>0</v>
      </c>
      <c r="H45" s="438">
        <f t="shared" si="13"/>
        <v>0</v>
      </c>
      <c r="I45" s="438">
        <f t="shared" si="13"/>
        <v>0</v>
      </c>
      <c r="J45" s="438">
        <f t="shared" si="13"/>
        <v>0</v>
      </c>
      <c r="K45" s="438">
        <f t="shared" si="13"/>
        <v>0</v>
      </c>
      <c r="L45" s="438">
        <f t="shared" si="13"/>
        <v>0</v>
      </c>
      <c r="M45" s="438">
        <f t="shared" si="13"/>
        <v>0</v>
      </c>
      <c r="N45" s="438">
        <f t="shared" si="13"/>
        <v>0</v>
      </c>
      <c r="O45" s="438">
        <f t="shared" si="13"/>
        <v>0</v>
      </c>
      <c r="P45" s="438">
        <f t="shared" si="13"/>
        <v>0</v>
      </c>
      <c r="Q45" s="438">
        <f t="shared" si="13"/>
        <v>0</v>
      </c>
      <c r="R45" s="438">
        <f t="shared" si="13"/>
        <v>0</v>
      </c>
      <c r="S45" s="438">
        <f t="shared" si="13"/>
        <v>0</v>
      </c>
      <c r="T45" s="438">
        <f t="shared" si="13"/>
        <v>0</v>
      </c>
      <c r="U45" s="438">
        <f t="shared" si="13"/>
        <v>0</v>
      </c>
      <c r="V45" s="438">
        <f t="shared" si="13"/>
        <v>0</v>
      </c>
      <c r="W45" s="438">
        <f t="shared" si="13"/>
        <v>0</v>
      </c>
      <c r="X45" s="438">
        <f t="shared" si="13"/>
        <v>0</v>
      </c>
      <c r="Y45" s="438">
        <f t="shared" si="13"/>
        <v>0</v>
      </c>
      <c r="Z45" s="438">
        <f t="shared" si="13"/>
        <v>0</v>
      </c>
      <c r="AA45" s="438">
        <f t="shared" si="13"/>
        <v>0</v>
      </c>
      <c r="AB45" s="438">
        <f t="shared" si="13"/>
        <v>0</v>
      </c>
      <c r="AC45" s="438">
        <f t="shared" si="13"/>
        <v>0</v>
      </c>
      <c r="AD45" s="438">
        <f t="shared" si="13"/>
        <v>247</v>
      </c>
      <c r="AE45" s="438">
        <f t="shared" si="13"/>
        <v>427</v>
      </c>
      <c r="AF45" s="438">
        <f>SUM(AF39:AF44)</f>
        <v>191</v>
      </c>
      <c r="AG45" s="439">
        <f t="shared" si="13"/>
        <v>110</v>
      </c>
      <c r="AH45" s="407">
        <f t="shared" si="11"/>
        <v>975</v>
      </c>
      <c r="AJ45" s="406"/>
      <c r="AK45" s="405"/>
    </row>
    <row r="46" spans="1:37" s="168" customFormat="1" ht="15.75" thickBot="1" x14ac:dyDescent="0.3">
      <c r="A46" s="167"/>
      <c r="B46" s="145" t="s">
        <v>77</v>
      </c>
      <c r="C46" s="146">
        <f>SUM(C32:C37,C39:C44)</f>
        <v>171</v>
      </c>
      <c r="D46" s="146">
        <f t="shared" ref="D46:AG46" si="14">SUM(D32:D37,D39:D44)</f>
        <v>54</v>
      </c>
      <c r="E46" s="146">
        <f t="shared" si="14"/>
        <v>80</v>
      </c>
      <c r="F46" s="146">
        <f t="shared" si="14"/>
        <v>76</v>
      </c>
      <c r="G46" s="146">
        <f t="shared" si="14"/>
        <v>106</v>
      </c>
      <c r="H46" s="146">
        <f t="shared" si="14"/>
        <v>137</v>
      </c>
      <c r="I46" s="146">
        <f t="shared" si="14"/>
        <v>186</v>
      </c>
      <c r="J46" s="146">
        <f t="shared" si="14"/>
        <v>251</v>
      </c>
      <c r="K46" s="146">
        <f t="shared" si="14"/>
        <v>100</v>
      </c>
      <c r="L46" s="146">
        <f t="shared" si="14"/>
        <v>110</v>
      </c>
      <c r="M46" s="146">
        <f t="shared" si="14"/>
        <v>148</v>
      </c>
      <c r="N46" s="146">
        <f t="shared" si="14"/>
        <v>138</v>
      </c>
      <c r="O46" s="146">
        <f t="shared" si="14"/>
        <v>157</v>
      </c>
      <c r="P46" s="146">
        <f t="shared" si="14"/>
        <v>330</v>
      </c>
      <c r="Q46" s="146">
        <f t="shared" si="14"/>
        <v>297</v>
      </c>
      <c r="R46" s="146">
        <f t="shared" si="14"/>
        <v>191</v>
      </c>
      <c r="S46" s="146">
        <f t="shared" si="14"/>
        <v>173</v>
      </c>
      <c r="T46" s="146">
        <f t="shared" si="14"/>
        <v>134</v>
      </c>
      <c r="U46" s="146">
        <f t="shared" si="14"/>
        <v>195</v>
      </c>
      <c r="V46" s="146">
        <f t="shared" si="14"/>
        <v>186</v>
      </c>
      <c r="W46" s="146">
        <f t="shared" si="14"/>
        <v>315</v>
      </c>
      <c r="X46" s="146">
        <f t="shared" si="14"/>
        <v>345</v>
      </c>
      <c r="Y46" s="146">
        <f t="shared" si="14"/>
        <v>216</v>
      </c>
      <c r="Z46" s="146">
        <f t="shared" si="14"/>
        <v>211</v>
      </c>
      <c r="AA46" s="146">
        <f t="shared" si="14"/>
        <v>297</v>
      </c>
      <c r="AB46" s="146">
        <f t="shared" si="14"/>
        <v>247</v>
      </c>
      <c r="AC46" s="146">
        <f t="shared" si="14"/>
        <v>291</v>
      </c>
      <c r="AD46" s="146">
        <f t="shared" si="14"/>
        <v>684</v>
      </c>
      <c r="AE46" s="146">
        <f t="shared" si="14"/>
        <v>813</v>
      </c>
      <c r="AF46" s="146">
        <f>SUM(AF32:AF37,AF39:AF44)</f>
        <v>583</v>
      </c>
      <c r="AG46" s="448">
        <f t="shared" si="14"/>
        <v>397</v>
      </c>
      <c r="AH46" s="449">
        <f>SUM(AH32:AH37,AH39:AH44)</f>
        <v>7619</v>
      </c>
      <c r="AJ46" s="260">
        <f>AH46</f>
        <v>7619</v>
      </c>
      <c r="AK46" s="261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1" priority="1" operator="notEqual">
      <formula>0</formula>
    </cfRule>
  </conditionalFormatting>
  <conditionalFormatting sqref="C26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verticalDpi="300" r:id="rId1"/>
  <headerFooter>
    <oddFooter>&amp;L&amp;8&amp;Z&amp;F&amp;R&amp;8&amp;A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K32" sqref="K32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120</v>
      </c>
      <c r="B1" s="254" t="str">
        <f>CONCATENATE('Cash Flow'!C1, "  ",'Cash Flow'!D1)</f>
        <v>May  2022</v>
      </c>
    </row>
    <row r="2" spans="1:5" ht="15.75" thickBot="1" x14ac:dyDescent="0.3"/>
    <row r="3" spans="1:5" x14ac:dyDescent="0.25">
      <c r="A3" s="250" t="s">
        <v>61</v>
      </c>
      <c r="B3" s="251" t="s">
        <v>102</v>
      </c>
      <c r="C3" s="128">
        <f>'Box Canon'!AH3+'Box Canon'!AH9</f>
        <v>448.91999999999996</v>
      </c>
      <c r="D3" s="116"/>
    </row>
    <row r="4" spans="1:5" x14ac:dyDescent="0.25">
      <c r="A4" s="252" t="s">
        <v>70</v>
      </c>
      <c r="B4" s="253" t="s">
        <v>71</v>
      </c>
      <c r="C4" s="131">
        <f>'Box Canon'!AH4+'Box Canon'!AH10</f>
        <v>33477</v>
      </c>
      <c r="D4" s="116"/>
    </row>
    <row r="5" spans="1:5" x14ac:dyDescent="0.25">
      <c r="A5" s="252" t="s">
        <v>81</v>
      </c>
      <c r="B5" s="253" t="s">
        <v>103</v>
      </c>
      <c r="C5" s="131">
        <f>'Box Canon'!AH5+'Box Canon'!AH11</f>
        <v>570</v>
      </c>
      <c r="D5" s="116"/>
    </row>
    <row r="6" spans="1:5" x14ac:dyDescent="0.25">
      <c r="A6" s="252" t="s">
        <v>80</v>
      </c>
      <c r="B6" s="253" t="s">
        <v>104</v>
      </c>
      <c r="C6" s="131">
        <f>'Box Canon'!AH6+'Box Canon'!AH12</f>
        <v>4747.5999999999995</v>
      </c>
      <c r="D6" s="116"/>
    </row>
    <row r="7" spans="1:5" x14ac:dyDescent="0.25">
      <c r="A7" s="252" t="s">
        <v>80</v>
      </c>
      <c r="B7" s="253" t="s">
        <v>82</v>
      </c>
      <c r="C7" s="131">
        <f>'Box Canon'!AH7+'Box Canon'!AH13</f>
        <v>6.8000000000000007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85</v>
      </c>
      <c r="B9" s="130" t="s">
        <v>98</v>
      </c>
      <c r="C9" s="131">
        <f>-('Box Canon'!AH26+'Box Canon'!AH27)</f>
        <v>14.289999999999708</v>
      </c>
      <c r="D9" s="116"/>
    </row>
    <row r="10" spans="1:5" ht="15.75" thickBot="1" x14ac:dyDescent="0.3">
      <c r="A10" s="180"/>
      <c r="B10" s="181"/>
      <c r="C10" s="182"/>
      <c r="D10" s="254"/>
      <c r="E10" s="168"/>
    </row>
    <row r="11" spans="1:5" x14ac:dyDescent="0.25">
      <c r="A11" s="116"/>
      <c r="B11" s="248" t="s">
        <v>65</v>
      </c>
      <c r="C11" s="205"/>
      <c r="D11" s="249">
        <f>SUM(C3:C9)</f>
        <v>39264.61</v>
      </c>
    </row>
    <row r="12" spans="1:5" ht="15.75" thickBot="1" x14ac:dyDescent="0.3">
      <c r="C12" s="154"/>
    </row>
    <row r="13" spans="1:5" x14ac:dyDescent="0.25">
      <c r="A13" s="126" t="s">
        <v>60</v>
      </c>
      <c r="B13" s="127" t="s">
        <v>94</v>
      </c>
      <c r="C13" s="128">
        <f>'Box Canon'!AL20</f>
        <v>18180.13</v>
      </c>
    </row>
    <row r="14" spans="1:5" x14ac:dyDescent="0.25">
      <c r="A14" s="129" t="s">
        <v>60</v>
      </c>
      <c r="B14" s="130" t="s">
        <v>96</v>
      </c>
      <c r="C14" s="131">
        <f>'Box Canon'!AM20</f>
        <v>1140.27</v>
      </c>
    </row>
    <row r="15" spans="1:5" x14ac:dyDescent="0.25">
      <c r="A15" s="129" t="s">
        <v>60</v>
      </c>
      <c r="B15" s="130" t="s">
        <v>95</v>
      </c>
      <c r="C15" s="131">
        <f>'Box Canon'!AL21</f>
        <v>9555.3700000000008</v>
      </c>
      <c r="E15" s="255">
        <f>D11-D22</f>
        <v>0</v>
      </c>
    </row>
    <row r="16" spans="1:5" x14ac:dyDescent="0.25">
      <c r="A16" s="129" t="s">
        <v>60</v>
      </c>
      <c r="B16" s="130" t="s">
        <v>97</v>
      </c>
      <c r="C16" s="131">
        <f>'Box Canon'!AM21</f>
        <v>9763.32</v>
      </c>
    </row>
    <row r="17" spans="1:4" x14ac:dyDescent="0.25">
      <c r="A17" s="129" t="s">
        <v>60</v>
      </c>
      <c r="B17" s="130" t="s">
        <v>223</v>
      </c>
      <c r="C17" s="131">
        <f>'Box Canon'!AL22</f>
        <v>28</v>
      </c>
    </row>
    <row r="18" spans="1:4" x14ac:dyDescent="0.25">
      <c r="A18" s="129" t="s">
        <v>60</v>
      </c>
      <c r="B18" s="130" t="s">
        <v>224</v>
      </c>
      <c r="C18" s="131">
        <f>'Box Canon'!AM22</f>
        <v>0</v>
      </c>
    </row>
    <row r="19" spans="1:4" x14ac:dyDescent="0.25">
      <c r="A19" s="129" t="s">
        <v>214</v>
      </c>
      <c r="B19" s="130" t="s">
        <v>218</v>
      </c>
      <c r="C19" s="131">
        <f>'Box Canon'!AL29</f>
        <v>295.58999999999997</v>
      </c>
    </row>
    <row r="20" spans="1:4" x14ac:dyDescent="0.25">
      <c r="A20" s="129" t="s">
        <v>214</v>
      </c>
      <c r="B20" s="130" t="s">
        <v>219</v>
      </c>
      <c r="C20" s="131">
        <f>'Box Canon'!AM29</f>
        <v>301.93</v>
      </c>
    </row>
    <row r="21" spans="1:4" ht="15.75" thickBot="1" x14ac:dyDescent="0.3">
      <c r="A21" s="180"/>
      <c r="B21" s="181"/>
      <c r="C21" s="182"/>
      <c r="D21" s="168"/>
    </row>
    <row r="22" spans="1:4" x14ac:dyDescent="0.25">
      <c r="B22" s="248" t="s">
        <v>66</v>
      </c>
      <c r="C22" s="205"/>
      <c r="D22" s="249">
        <f>SUM(C13:C20)</f>
        <v>39264.61</v>
      </c>
    </row>
    <row r="23" spans="1:4" ht="15.75" thickBot="1" x14ac:dyDescent="0.3"/>
    <row r="24" spans="1:4" x14ac:dyDescent="0.25">
      <c r="B24" s="494" t="s">
        <v>57</v>
      </c>
      <c r="C24" s="495"/>
    </row>
    <row r="25" spans="1:4" x14ac:dyDescent="0.25">
      <c r="B25" s="142" t="s">
        <v>76</v>
      </c>
      <c r="C25" s="144">
        <f>'Box Canon'!AJ32</f>
        <v>5126</v>
      </c>
    </row>
    <row r="26" spans="1:4" x14ac:dyDescent="0.25">
      <c r="B26" s="142" t="s">
        <v>75</v>
      </c>
      <c r="C26" s="144">
        <f>'Box Canon'!AJ33</f>
        <v>1020</v>
      </c>
    </row>
    <row r="27" spans="1:4" x14ac:dyDescent="0.25">
      <c r="B27" s="142" t="s">
        <v>216</v>
      </c>
      <c r="C27" s="144">
        <f>'Box Canon'!AJ34</f>
        <v>76</v>
      </c>
    </row>
    <row r="28" spans="1:4" x14ac:dyDescent="0.25">
      <c r="B28" s="142" t="s">
        <v>73</v>
      </c>
      <c r="C28" s="144">
        <f>'Box Canon'!AJ35</f>
        <v>80</v>
      </c>
    </row>
    <row r="29" spans="1:4" x14ac:dyDescent="0.25">
      <c r="B29" s="142" t="s">
        <v>74</v>
      </c>
      <c r="C29" s="144">
        <f>'Box Canon'!AJ36</f>
        <v>1146</v>
      </c>
    </row>
    <row r="30" spans="1:4" x14ac:dyDescent="0.25">
      <c r="B30" s="142" t="s">
        <v>72</v>
      </c>
      <c r="C30" s="144">
        <f>'Box Canon'!AJ37</f>
        <v>171</v>
      </c>
    </row>
    <row r="31" spans="1:4" x14ac:dyDescent="0.25">
      <c r="B31" s="129"/>
      <c r="C31" s="245"/>
    </row>
    <row r="32" spans="1:4" ht="15.75" thickBot="1" x14ac:dyDescent="0.3">
      <c r="B32" s="246" t="s">
        <v>77</v>
      </c>
      <c r="C32" s="247">
        <f>SUM(C25:C30)</f>
        <v>7619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opLeftCell="A16" workbookViewId="0">
      <selection activeCell="G42" sqref="G42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4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79" customFormat="1" ht="13.5" customHeight="1" x14ac:dyDescent="0.25">
      <c r="A1" s="235" t="s">
        <v>119</v>
      </c>
      <c r="B1" s="177" t="str">
        <f>CONCATENATE('Cash Flow'!C1, "  ",'Cash Flow'!D1)</f>
        <v>May  2022</v>
      </c>
      <c r="C1" s="178"/>
    </row>
    <row r="2" spans="1:6" s="179" customFormat="1" ht="5.0999999999999996" customHeight="1" thickBot="1" x14ac:dyDescent="0.3">
      <c r="A2" s="235"/>
      <c r="B2" s="177"/>
      <c r="C2" s="178"/>
    </row>
    <row r="3" spans="1:6" s="179" customFormat="1" ht="14.1" customHeight="1" thickBot="1" x14ac:dyDescent="0.3">
      <c r="A3" s="497" t="s">
        <v>189</v>
      </c>
      <c r="B3" s="498"/>
      <c r="C3" s="499"/>
    </row>
    <row r="4" spans="1:6" s="179" customFormat="1" ht="24" customHeight="1" x14ac:dyDescent="0.25">
      <c r="A4" s="89" t="s">
        <v>30</v>
      </c>
      <c r="B4" s="84" t="s">
        <v>31</v>
      </c>
      <c r="C4" s="184">
        <f>Pool!AH4+(C13/2)+Pool!AH7+Pool!AH5</f>
        <v>103712.99999999999</v>
      </c>
      <c r="D4" s="503" t="s">
        <v>180</v>
      </c>
      <c r="E4" s="504"/>
      <c r="F4" s="504"/>
    </row>
    <row r="5" spans="1:6" ht="14.1" customHeight="1" x14ac:dyDescent="0.25">
      <c r="A5" s="90" t="s">
        <v>181</v>
      </c>
      <c r="B5" s="91" t="s">
        <v>63</v>
      </c>
      <c r="C5" s="185">
        <f>Pool!AH6</f>
        <v>1421.4</v>
      </c>
      <c r="D5" s="502"/>
      <c r="E5" s="496"/>
      <c r="F5" s="496"/>
    </row>
    <row r="6" spans="1:6" ht="14.1" customHeight="1" x14ac:dyDescent="0.25">
      <c r="A6" s="90" t="s">
        <v>157</v>
      </c>
      <c r="B6" s="91" t="s">
        <v>200</v>
      </c>
      <c r="C6" s="185">
        <f>Pool!AH8</f>
        <v>23819.5</v>
      </c>
      <c r="D6" s="505" t="s">
        <v>203</v>
      </c>
      <c r="E6" s="506"/>
      <c r="F6" s="506"/>
    </row>
    <row r="7" spans="1:6" ht="14.1" customHeight="1" x14ac:dyDescent="0.25">
      <c r="A7" s="90" t="s">
        <v>162</v>
      </c>
      <c r="B7" s="91" t="s">
        <v>163</v>
      </c>
      <c r="C7" s="185">
        <f>Pool!AH9</f>
        <v>0</v>
      </c>
      <c r="D7" s="502"/>
      <c r="E7" s="496"/>
      <c r="F7" s="496"/>
    </row>
    <row r="8" spans="1:6" ht="14.1" customHeight="1" x14ac:dyDescent="0.25">
      <c r="A8" s="90" t="s">
        <v>164</v>
      </c>
      <c r="B8" s="91" t="s">
        <v>174</v>
      </c>
      <c r="C8" s="185">
        <f>Pool!AH10</f>
        <v>250</v>
      </c>
      <c r="D8" s="502"/>
      <c r="E8" s="496"/>
      <c r="F8" s="496"/>
    </row>
    <row r="9" spans="1:6" ht="14.1" customHeight="1" x14ac:dyDescent="0.25">
      <c r="A9" s="90" t="s">
        <v>34</v>
      </c>
      <c r="B9" s="91" t="s">
        <v>35</v>
      </c>
      <c r="C9" s="185">
        <f>Pool!AH14</f>
        <v>417</v>
      </c>
      <c r="D9" s="502"/>
      <c r="E9" s="496"/>
      <c r="F9" s="496"/>
    </row>
    <row r="10" spans="1:6" ht="14.1" customHeight="1" x14ac:dyDescent="0.25">
      <c r="A10" s="90" t="s">
        <v>36</v>
      </c>
      <c r="B10" s="91" t="s">
        <v>37</v>
      </c>
      <c r="C10" s="185">
        <f>Pool!AH15</f>
        <v>9067.4600000000009</v>
      </c>
      <c r="D10" s="502"/>
      <c r="E10" s="496"/>
      <c r="F10" s="496"/>
    </row>
    <row r="11" spans="1:6" ht="14.1" customHeight="1" x14ac:dyDescent="0.25">
      <c r="A11" s="90" t="s">
        <v>206</v>
      </c>
      <c r="B11" s="91" t="s">
        <v>114</v>
      </c>
      <c r="C11" s="185">
        <f>Pool!AH16</f>
        <v>0</v>
      </c>
      <c r="D11" s="502"/>
      <c r="E11" s="496"/>
      <c r="F11" s="496"/>
    </row>
    <row r="12" spans="1:6" ht="14.1" customHeight="1" x14ac:dyDescent="0.25">
      <c r="A12" s="90" t="s">
        <v>78</v>
      </c>
      <c r="B12" s="91" t="s">
        <v>201</v>
      </c>
      <c r="C12" s="185">
        <f>Pool!AH17+(C13/2)</f>
        <v>3340.5</v>
      </c>
      <c r="D12" s="502" t="s">
        <v>204</v>
      </c>
      <c r="E12" s="496"/>
      <c r="F12" s="496"/>
    </row>
    <row r="13" spans="1:6" ht="14.1" customHeight="1" x14ac:dyDescent="0.25">
      <c r="A13" s="90"/>
      <c r="B13" s="91" t="s">
        <v>106</v>
      </c>
      <c r="C13" s="207">
        <f>Pool!AH18</f>
        <v>0</v>
      </c>
      <c r="D13" s="502" t="s">
        <v>173</v>
      </c>
      <c r="E13" s="496"/>
      <c r="F13" s="496"/>
    </row>
    <row r="14" spans="1:6" ht="14.1" customHeight="1" x14ac:dyDescent="0.25">
      <c r="A14" s="90" t="s">
        <v>38</v>
      </c>
      <c r="B14" s="91" t="s">
        <v>39</v>
      </c>
      <c r="C14" s="185">
        <f>Pool!AH19</f>
        <v>0</v>
      </c>
      <c r="D14" s="502"/>
      <c r="E14" s="496"/>
      <c r="F14" s="496"/>
    </row>
    <row r="15" spans="1:6" ht="14.1" customHeight="1" x14ac:dyDescent="0.25">
      <c r="A15" s="90" t="s">
        <v>40</v>
      </c>
      <c r="B15" s="91" t="s">
        <v>41</v>
      </c>
      <c r="C15" s="185">
        <f>Pool!AH21</f>
        <v>0</v>
      </c>
      <c r="D15" s="502"/>
      <c r="E15" s="496"/>
      <c r="F15" s="496"/>
    </row>
    <row r="16" spans="1:6" ht="14.1" customHeight="1" x14ac:dyDescent="0.25">
      <c r="A16" s="90" t="s">
        <v>166</v>
      </c>
      <c r="B16" s="91" t="s">
        <v>167</v>
      </c>
      <c r="C16" s="185">
        <f>Pool!AH20</f>
        <v>405</v>
      </c>
      <c r="D16" s="502"/>
      <c r="E16" s="496"/>
      <c r="F16" s="496"/>
    </row>
    <row r="17" spans="1:7" ht="14.1" customHeight="1" x14ac:dyDescent="0.25">
      <c r="A17" s="90" t="s">
        <v>42</v>
      </c>
      <c r="B17" s="91" t="s">
        <v>43</v>
      </c>
      <c r="C17" s="185">
        <f>Pool!AH22</f>
        <v>0</v>
      </c>
      <c r="D17" s="502"/>
      <c r="E17" s="496"/>
      <c r="F17" s="496"/>
    </row>
    <row r="18" spans="1:7" ht="14.1" hidden="1" customHeight="1" x14ac:dyDescent="0.25">
      <c r="A18" s="90" t="s">
        <v>44</v>
      </c>
      <c r="B18" s="91" t="s">
        <v>45</v>
      </c>
      <c r="C18" s="185">
        <f>Pool!AH23</f>
        <v>0</v>
      </c>
      <c r="D18" s="502"/>
      <c r="E18" s="496"/>
      <c r="F18" s="496"/>
    </row>
    <row r="19" spans="1:7" ht="14.1" hidden="1" customHeight="1" x14ac:dyDescent="0.25">
      <c r="A19" s="90" t="s">
        <v>46</v>
      </c>
      <c r="B19" s="91" t="s">
        <v>47</v>
      </c>
      <c r="C19" s="185">
        <f>Pool!AH24</f>
        <v>0</v>
      </c>
      <c r="D19" s="502"/>
      <c r="E19" s="496"/>
      <c r="F19" s="496"/>
    </row>
    <row r="20" spans="1:7" ht="14.1" hidden="1" customHeight="1" x14ac:dyDescent="0.25">
      <c r="A20" s="90" t="s">
        <v>48</v>
      </c>
      <c r="B20" s="91" t="s">
        <v>49</v>
      </c>
      <c r="C20" s="185">
        <f>Pool!AH25</f>
        <v>0</v>
      </c>
      <c r="D20" s="502"/>
      <c r="E20" s="496"/>
      <c r="F20" s="496"/>
    </row>
    <row r="21" spans="1:7" ht="14.1" customHeight="1" x14ac:dyDescent="0.25">
      <c r="A21" s="90" t="s">
        <v>50</v>
      </c>
      <c r="B21" s="91" t="s">
        <v>51</v>
      </c>
      <c r="C21" s="185">
        <f>Pool!AH26</f>
        <v>0</v>
      </c>
      <c r="D21" s="502"/>
      <c r="E21" s="496"/>
      <c r="F21" s="496"/>
    </row>
    <row r="22" spans="1:7" ht="14.1" customHeight="1" thickBot="1" x14ac:dyDescent="0.3">
      <c r="A22" s="81" t="s">
        <v>52</v>
      </c>
      <c r="B22" s="94" t="s">
        <v>53</v>
      </c>
      <c r="C22" s="186">
        <f>Pool!AH27</f>
        <v>0</v>
      </c>
      <c r="D22" s="502"/>
      <c r="E22" s="496"/>
      <c r="F22" s="496"/>
    </row>
    <row r="23" spans="1:7" ht="14.1" customHeight="1" x14ac:dyDescent="0.25">
      <c r="A23" s="188"/>
      <c r="B23" s="206" t="s">
        <v>65</v>
      </c>
      <c r="C23" s="187">
        <f>C4+C5+C6+C7+C8+C9+C10+C11+C12+C16</f>
        <v>142433.85999999999</v>
      </c>
      <c r="D23" s="502" t="s">
        <v>177</v>
      </c>
      <c r="E23" s="496"/>
      <c r="F23" s="496"/>
    </row>
    <row r="24" spans="1:7" ht="5.0999999999999996" customHeight="1" thickBot="1" x14ac:dyDescent="0.3">
      <c r="A24" s="116"/>
      <c r="B24" s="116"/>
      <c r="C24" s="116"/>
      <c r="F24" s="210"/>
      <c r="G24" s="210"/>
    </row>
    <row r="25" spans="1:7" ht="14.1" customHeight="1" thickBot="1" x14ac:dyDescent="0.3">
      <c r="A25" s="497" t="s">
        <v>182</v>
      </c>
      <c r="B25" s="498"/>
      <c r="C25" s="499"/>
    </row>
    <row r="26" spans="1:7" ht="14.1" customHeight="1" x14ac:dyDescent="0.25">
      <c r="A26" s="126" t="s">
        <v>61</v>
      </c>
      <c r="B26" s="394" t="s">
        <v>62</v>
      </c>
      <c r="C26" s="395">
        <f>Pool!AH3</f>
        <v>874.08999999999992</v>
      </c>
      <c r="D26" s="502"/>
      <c r="E26" s="496"/>
      <c r="F26" s="496"/>
    </row>
    <row r="27" spans="1:7" ht="14.1" customHeight="1" x14ac:dyDescent="0.25">
      <c r="A27" s="129" t="s">
        <v>158</v>
      </c>
      <c r="B27" s="396" t="s">
        <v>159</v>
      </c>
      <c r="C27" s="398">
        <f>Pool!AH11</f>
        <v>0</v>
      </c>
      <c r="D27" s="502" t="s">
        <v>187</v>
      </c>
      <c r="E27" s="496"/>
      <c r="F27" s="496"/>
    </row>
    <row r="28" spans="1:7" ht="14.1" customHeight="1" x14ac:dyDescent="0.25">
      <c r="A28" s="129" t="s">
        <v>169</v>
      </c>
      <c r="B28" s="396" t="s">
        <v>170</v>
      </c>
      <c r="C28" s="398">
        <f>Pool!AH12</f>
        <v>0</v>
      </c>
      <c r="D28" s="502" t="s">
        <v>175</v>
      </c>
      <c r="E28" s="496"/>
      <c r="F28" s="496"/>
    </row>
    <row r="29" spans="1:7" ht="14.1" customHeight="1" x14ac:dyDescent="0.25">
      <c r="A29" s="129" t="s">
        <v>171</v>
      </c>
      <c r="B29" s="396" t="s">
        <v>172</v>
      </c>
      <c r="C29" s="398">
        <f>Pool!AH13</f>
        <v>0</v>
      </c>
      <c r="D29" s="502" t="s">
        <v>176</v>
      </c>
      <c r="E29" s="496"/>
      <c r="F29" s="496"/>
    </row>
    <row r="30" spans="1:7" ht="14.1" customHeight="1" thickBot="1" x14ac:dyDescent="0.3">
      <c r="A30" s="135" t="s">
        <v>112</v>
      </c>
      <c r="B30" s="397" t="s">
        <v>87</v>
      </c>
      <c r="C30" s="399">
        <f>Pool!AH28</f>
        <v>228</v>
      </c>
      <c r="D30" s="502" t="s">
        <v>183</v>
      </c>
      <c r="E30" s="496"/>
      <c r="F30" s="496"/>
    </row>
    <row r="31" spans="1:7" ht="14.1" customHeight="1" x14ac:dyDescent="0.25">
      <c r="A31" s="116"/>
      <c r="B31" s="400" t="s">
        <v>184</v>
      </c>
      <c r="C31" s="401">
        <f>SUM(C26:C30)</f>
        <v>1102.0899999999999</v>
      </c>
      <c r="F31" s="210"/>
    </row>
    <row r="32" spans="1:7" ht="5.0999999999999996" customHeight="1" x14ac:dyDescent="0.25">
      <c r="A32" s="116"/>
      <c r="B32" s="402"/>
      <c r="C32" s="401"/>
      <c r="F32" s="210"/>
    </row>
    <row r="33" spans="1:6" ht="14.1" customHeight="1" x14ac:dyDescent="0.25">
      <c r="A33" s="116"/>
      <c r="B33" s="403" t="s">
        <v>185</v>
      </c>
      <c r="C33" s="404">
        <f>C31+C23</f>
        <v>143535.94999999998</v>
      </c>
      <c r="D33" s="496" t="s">
        <v>186</v>
      </c>
      <c r="E33" s="496"/>
      <c r="F33" s="496"/>
    </row>
    <row r="34" spans="1:6" ht="5.0999999999999996" customHeight="1" thickBot="1" x14ac:dyDescent="0.3">
      <c r="A34" s="116"/>
      <c r="B34" s="116"/>
      <c r="C34" s="116"/>
    </row>
    <row r="35" spans="1:6" ht="14.1" customHeight="1" thickBot="1" x14ac:dyDescent="0.3">
      <c r="A35" s="497" t="s">
        <v>188</v>
      </c>
      <c r="B35" s="498"/>
      <c r="C35" s="499"/>
    </row>
    <row r="36" spans="1:6" ht="14.1" customHeight="1" x14ac:dyDescent="0.25">
      <c r="A36" s="126" t="s">
        <v>60</v>
      </c>
      <c r="B36" s="127" t="s">
        <v>88</v>
      </c>
      <c r="C36" s="155">
        <f>Pool!AL33</f>
        <v>17033.019999999997</v>
      </c>
    </row>
    <row r="37" spans="1:6" ht="14.1" customHeight="1" x14ac:dyDescent="0.25">
      <c r="A37" s="129" t="s">
        <v>60</v>
      </c>
      <c r="B37" s="130" t="s">
        <v>90</v>
      </c>
      <c r="C37" s="156">
        <f>Pool!AM33</f>
        <v>11237.15</v>
      </c>
    </row>
    <row r="38" spans="1:6" ht="14.1" customHeight="1" x14ac:dyDescent="0.25">
      <c r="A38" s="129" t="s">
        <v>60</v>
      </c>
      <c r="B38" s="130" t="s">
        <v>89</v>
      </c>
      <c r="C38" s="156">
        <f>Pool!AL34</f>
        <v>56249.499999999993</v>
      </c>
    </row>
    <row r="39" spans="1:6" ht="14.1" customHeight="1" x14ac:dyDescent="0.25">
      <c r="A39" s="129" t="s">
        <v>60</v>
      </c>
      <c r="B39" s="130" t="s">
        <v>91</v>
      </c>
      <c r="C39" s="156">
        <f>Pool!AM34</f>
        <v>55401.75</v>
      </c>
      <c r="D39" s="265"/>
      <c r="E39" s="210"/>
    </row>
    <row r="40" spans="1:6" ht="14.1" customHeight="1" x14ac:dyDescent="0.25">
      <c r="A40" s="129" t="s">
        <v>60</v>
      </c>
      <c r="B40" s="130" t="s">
        <v>115</v>
      </c>
      <c r="C40" s="156">
        <f>Pool!AL35</f>
        <v>28</v>
      </c>
      <c r="D40" s="266"/>
      <c r="E40" s="210"/>
    </row>
    <row r="41" spans="1:6" ht="14.1" customHeight="1" x14ac:dyDescent="0.25">
      <c r="A41" s="129" t="s">
        <v>60</v>
      </c>
      <c r="B41" s="130" t="s">
        <v>116</v>
      </c>
      <c r="C41" s="156">
        <f>Pool!AM35</f>
        <v>0</v>
      </c>
      <c r="E41" s="210"/>
    </row>
    <row r="42" spans="1:6" ht="14.1" customHeight="1" x14ac:dyDescent="0.25">
      <c r="A42" s="129" t="s">
        <v>208</v>
      </c>
      <c r="B42" s="130" t="s">
        <v>210</v>
      </c>
      <c r="C42" s="156">
        <f>Pool!AL45</f>
        <v>1751.4400000000003</v>
      </c>
      <c r="E42" s="210"/>
    </row>
    <row r="43" spans="1:6" ht="14.1" customHeight="1" x14ac:dyDescent="0.25">
      <c r="A43" s="129" t="s">
        <v>208</v>
      </c>
      <c r="B43" s="130" t="s">
        <v>211</v>
      </c>
      <c r="C43" s="156">
        <f>Pool!AM45</f>
        <v>1724.96</v>
      </c>
      <c r="E43" s="210"/>
    </row>
    <row r="44" spans="1:6" ht="14.1" hidden="1" customHeight="1" x14ac:dyDescent="0.25">
      <c r="A44" s="129" t="s">
        <v>60</v>
      </c>
      <c r="B44" s="130" t="s">
        <v>117</v>
      </c>
      <c r="C44" s="156">
        <f>Pool!AL36</f>
        <v>0</v>
      </c>
      <c r="E44" s="210"/>
    </row>
    <row r="45" spans="1:6" ht="14.1" hidden="1" customHeight="1" x14ac:dyDescent="0.25">
      <c r="A45" s="129" t="s">
        <v>60</v>
      </c>
      <c r="B45" s="130" t="s">
        <v>118</v>
      </c>
      <c r="C45" s="156">
        <f>Pool!AM36</f>
        <v>0</v>
      </c>
      <c r="E45" s="210"/>
    </row>
    <row r="46" spans="1:6" ht="14.1" customHeight="1" x14ac:dyDescent="0.25">
      <c r="A46" s="129" t="s">
        <v>32</v>
      </c>
      <c r="B46" s="130" t="s">
        <v>92</v>
      </c>
      <c r="C46" s="156">
        <f>Pool!AL43</f>
        <v>46.129999999998972</v>
      </c>
      <c r="D46" s="500"/>
      <c r="E46" s="501"/>
      <c r="F46" s="501"/>
    </row>
    <row r="47" spans="1:6" ht="14.1" customHeight="1" x14ac:dyDescent="0.25">
      <c r="A47" s="360" t="s">
        <v>68</v>
      </c>
      <c r="B47" s="361" t="s">
        <v>93</v>
      </c>
      <c r="C47" s="379">
        <f>Pool!AL37</f>
        <v>4</v>
      </c>
    </row>
    <row r="48" spans="1:6" ht="14.1" customHeight="1" thickBot="1" x14ac:dyDescent="0.3">
      <c r="A48" s="135" t="s">
        <v>112</v>
      </c>
      <c r="B48" s="136" t="s">
        <v>179</v>
      </c>
      <c r="C48" s="157">
        <f>Pool!AL38</f>
        <v>60</v>
      </c>
    </row>
    <row r="49" spans="1:5" ht="12.75" customHeight="1" x14ac:dyDescent="0.25">
      <c r="A49" s="204"/>
      <c r="B49" s="208" t="s">
        <v>66</v>
      </c>
      <c r="C49" s="209">
        <f>SUM(C36:C48)</f>
        <v>143535.94999999998</v>
      </c>
    </row>
    <row r="50" spans="1:5" ht="5.0999999999999996" customHeight="1" thickBot="1" x14ac:dyDescent="0.3">
      <c r="D50" s="209"/>
      <c r="E50" s="210"/>
    </row>
    <row r="51" spans="1:5" ht="14.1" customHeight="1" x14ac:dyDescent="0.25">
      <c r="B51" s="126" t="s">
        <v>57</v>
      </c>
      <c r="C51" s="236">
        <f>Pool!AJ47</f>
        <v>8060</v>
      </c>
    </row>
    <row r="52" spans="1:5" ht="14.1" customHeight="1" x14ac:dyDescent="0.25">
      <c r="B52" s="129" t="s">
        <v>58</v>
      </c>
      <c r="C52" s="237">
        <f>Pool!AJ48</f>
        <v>1489</v>
      </c>
    </row>
    <row r="53" spans="1:5" ht="14.1" customHeight="1" thickBot="1" x14ac:dyDescent="0.3">
      <c r="B53" s="238" t="s">
        <v>109</v>
      </c>
      <c r="C53" s="239">
        <f>C51+C52</f>
        <v>9549</v>
      </c>
    </row>
    <row r="54" spans="1:5" ht="5.0999999999999996" customHeight="1" thickBot="1" x14ac:dyDescent="0.3"/>
    <row r="55" spans="1:5" ht="14.1" customHeight="1" thickBot="1" x14ac:dyDescent="0.3">
      <c r="B55" s="240" t="s">
        <v>121</v>
      </c>
      <c r="C55" s="241">
        <f>Pool!AJ54</f>
        <v>12.514634558516249</v>
      </c>
    </row>
    <row r="56" spans="1:5" ht="5.0999999999999996" customHeight="1" thickBot="1" x14ac:dyDescent="0.3"/>
    <row r="57" spans="1:5" ht="14.1" customHeight="1" thickBot="1" x14ac:dyDescent="0.3">
      <c r="A57" s="263"/>
      <c r="B57" s="298" t="s">
        <v>133</v>
      </c>
      <c r="C57" s="299" t="s">
        <v>144</v>
      </c>
    </row>
    <row r="58" spans="1:5" ht="14.1" customHeight="1" x14ac:dyDescent="0.25">
      <c r="B58" s="83" t="s">
        <v>138</v>
      </c>
      <c r="C58" s="310">
        <f>Pool!AJ57</f>
        <v>98.61904761904762</v>
      </c>
    </row>
    <row r="59" spans="1:5" ht="14.1" customHeight="1" x14ac:dyDescent="0.25">
      <c r="A59" s="263"/>
      <c r="B59" s="311" t="s">
        <v>139</v>
      </c>
      <c r="C59" s="312">
        <f>Pool!AJ58</f>
        <v>90.3125</v>
      </c>
    </row>
    <row r="60" spans="1:5" ht="14.1" customHeight="1" x14ac:dyDescent="0.25">
      <c r="B60" s="311" t="s">
        <v>141</v>
      </c>
      <c r="C60" s="312">
        <f>Pool!AJ59</f>
        <v>82.227272727272734</v>
      </c>
    </row>
    <row r="61" spans="1:5" ht="14.1" customHeight="1" thickBot="1" x14ac:dyDescent="0.3">
      <c r="B61" s="313" t="s">
        <v>145</v>
      </c>
      <c r="C61" s="314">
        <f>Pool!AJ60</f>
        <v>0</v>
      </c>
    </row>
    <row r="62" spans="1:5" x14ac:dyDescent="0.25">
      <c r="A62" s="375"/>
      <c r="B62" s="375"/>
      <c r="C62" s="375"/>
      <c r="E62" s="375"/>
    </row>
    <row r="63" spans="1:5" x14ac:dyDescent="0.25">
      <c r="D63" s="375"/>
    </row>
  </sheetData>
  <sheetProtection formatCells="0" formatColumns="0" formatRows="0" insertColumns="0" insertRows="0" insertHyperlinks="0" deleteColumns="0" deleteRows="0" sort="0" autoFilter="0" pivotTables="0"/>
  <mergeCells count="30">
    <mergeCell ref="D4:F4"/>
    <mergeCell ref="D6:F6"/>
    <mergeCell ref="D13:F13"/>
    <mergeCell ref="D12:F12"/>
    <mergeCell ref="D8:F8"/>
    <mergeCell ref="D7:F7"/>
    <mergeCell ref="D5:F5"/>
    <mergeCell ref="D20:F20"/>
    <mergeCell ref="D21:F21"/>
    <mergeCell ref="D9:F9"/>
    <mergeCell ref="D10:F10"/>
    <mergeCell ref="D11:F11"/>
    <mergeCell ref="D14:F14"/>
    <mergeCell ref="D15:F15"/>
    <mergeCell ref="D33:F33"/>
    <mergeCell ref="A35:C35"/>
    <mergeCell ref="A3:C3"/>
    <mergeCell ref="D46:F46"/>
    <mergeCell ref="A25:C25"/>
    <mergeCell ref="D30:F30"/>
    <mergeCell ref="D26:F26"/>
    <mergeCell ref="D27:F27"/>
    <mergeCell ref="D28:F28"/>
    <mergeCell ref="D29:F29"/>
    <mergeCell ref="D22:F22"/>
    <mergeCell ref="D23:F23"/>
    <mergeCell ref="D16:F16"/>
    <mergeCell ref="D17:F17"/>
    <mergeCell ref="D18:F18"/>
    <mergeCell ref="D19:F19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Cash Flow</vt:lpstr>
      <vt:lpstr>Pool</vt:lpstr>
      <vt:lpstr>Pool Stats</vt:lpstr>
      <vt:lpstr>Box Canon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2022-07-08T19:26:33Z</cp:lastPrinted>
  <dcterms:created xsi:type="dcterms:W3CDTF">2017-08-14T15:26:56Z</dcterms:created>
  <dcterms:modified xsi:type="dcterms:W3CDTF">2022-08-29T16:12:04Z</dcterms:modified>
</cp:coreProperties>
</file>