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7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5" l="1"/>
  <c r="AG44" i="9"/>
  <c r="AG43" i="9"/>
  <c r="AG40" i="9"/>
  <c r="AG39" i="9"/>
  <c r="AM45" i="3" l="1"/>
  <c r="AM34" i="3" s="1"/>
  <c r="AL45" i="3"/>
  <c r="AL34" i="3"/>
  <c r="AM33" i="3"/>
  <c r="AL33" i="3"/>
  <c r="AM20" i="9"/>
  <c r="AL20" i="9"/>
  <c r="AM7" i="10"/>
  <c r="AL7" i="10"/>
  <c r="AC34" i="3"/>
  <c r="AM29" i="9"/>
  <c r="AL29" i="9"/>
  <c r="AL21" i="9"/>
  <c r="AM21" i="9"/>
  <c r="AC29" i="9"/>
  <c r="AM8" i="10"/>
  <c r="AL8" i="10"/>
  <c r="AL13" i="10"/>
  <c r="AM13" i="10"/>
  <c r="T24" i="9"/>
  <c r="AC14" i="10" l="1"/>
  <c r="S36" i="9" l="1"/>
  <c r="S4" i="9"/>
  <c r="AF10" i="9"/>
  <c r="AF39" i="9"/>
  <c r="AF43" i="9"/>
  <c r="AF41" i="9"/>
  <c r="AF40" i="9"/>
  <c r="AE44" i="9"/>
  <c r="AE43" i="9"/>
  <c r="AE41" i="9"/>
  <c r="AE40" i="9"/>
  <c r="AE39" i="9"/>
  <c r="AD44" i="9"/>
  <c r="AD43" i="9"/>
  <c r="AD41" i="9"/>
  <c r="AD40" i="9"/>
  <c r="AD39" i="9"/>
  <c r="AC44" i="9"/>
  <c r="AC43" i="9"/>
  <c r="AC41" i="9"/>
  <c r="AC40" i="9"/>
  <c r="AC39" i="9"/>
  <c r="U11" i="10" l="1"/>
  <c r="V34" i="3"/>
  <c r="T36" i="9" l="1"/>
  <c r="T4" i="9"/>
  <c r="W4" i="3"/>
  <c r="J52" i="3" l="1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E27" i="9"/>
  <c r="E26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N30" i="9"/>
  <c r="F14" i="10" l="1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D14" i="10"/>
  <c r="AE14" i="10"/>
  <c r="AF14" i="10"/>
  <c r="AG14" i="10"/>
  <c r="D14" i="10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L35" i="3" l="1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1" i="11"/>
  <c r="C10" i="11"/>
  <c r="C13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4" i="11" l="1"/>
  <c r="C12" i="11"/>
  <c r="C6" i="5"/>
  <c r="C41" i="5"/>
  <c r="AH9" i="10"/>
  <c r="AH11" i="10"/>
  <c r="AL11" i="10" s="1"/>
  <c r="D17" i="11" l="1"/>
  <c r="AL9" i="10"/>
  <c r="AM12" i="10" s="1"/>
  <c r="AN12" i="10" s="1"/>
  <c r="C6" i="11"/>
  <c r="D8" i="11" s="1"/>
  <c r="C18" i="7"/>
  <c r="AM22" i="9"/>
  <c r="AL22" i="9"/>
  <c r="C17" i="7" s="1"/>
  <c r="E12" i="11" l="1"/>
  <c r="AN9" i="10"/>
  <c r="C19" i="7" l="1"/>
  <c r="AH29" i="9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G41" i="9"/>
  <c r="C34" i="9"/>
  <c r="D34" i="9"/>
  <c r="E34" i="9"/>
  <c r="F34" i="9"/>
  <c r="G34" i="9"/>
  <c r="H34" i="9"/>
  <c r="I34" i="9"/>
  <c r="J34" i="9"/>
  <c r="K34" i="9"/>
  <c r="L34" i="9"/>
  <c r="M34" i="9"/>
  <c r="P34" i="9"/>
  <c r="U34" i="9"/>
  <c r="Z34" i="9"/>
  <c r="AB34" i="9"/>
  <c r="D33" i="9"/>
  <c r="E33" i="9"/>
  <c r="F33" i="9"/>
  <c r="G33" i="9"/>
  <c r="H33" i="9"/>
  <c r="I33" i="9"/>
  <c r="J33" i="9"/>
  <c r="K33" i="9"/>
  <c r="L33" i="9"/>
  <c r="M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D35" i="9"/>
  <c r="E35" i="9"/>
  <c r="F35" i="9"/>
  <c r="G35" i="9"/>
  <c r="H35" i="9"/>
  <c r="I35" i="9"/>
  <c r="J35" i="9"/>
  <c r="K35" i="9"/>
  <c r="L35" i="9"/>
  <c r="M35" i="9"/>
  <c r="N35" i="9"/>
  <c r="O35" i="9"/>
  <c r="R35" i="9"/>
  <c r="U35" i="9"/>
  <c r="V35" i="9"/>
  <c r="W35" i="9"/>
  <c r="X35" i="9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AF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1" i="9"/>
  <c r="AH23" i="9"/>
  <c r="C26" i="9"/>
  <c r="C27" i="9"/>
  <c r="D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H41" i="3" l="1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$105 cash sale rung up by mistake, no cash received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credit memo for non-payment of membership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 did a refund for box canon that showed up on the pool's report</t>
        </r>
      </text>
    </comment>
    <comment ref="AB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33.27 discounts from snack shack were deducted from Box Canon, manually subtracted from deposit</t>
        </r>
      </text>
    </comment>
    <comment ref="AC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17.36 discounts from snack shack were deducted from Box Canon, manually subtracted from deposit</t>
        </r>
      </text>
    </comment>
    <comment ref="AD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9.14 discounts from snack shack were deducted from Box Canon, manually subtracted from deposit</t>
        </r>
      </text>
    </comment>
    <comment ref="AE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40.38 discounts from snack shack were deducted from Box Canon, manually subtracted from deposit</t>
        </r>
      </text>
    </comment>
    <comment ref="AF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6.41 discounts from snack shack were deducted from Box Canon, manually subtracted from deposit</t>
        </r>
      </text>
    </comment>
    <comment ref="AG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1.83 discounts from snack shack were deducted from Box Canon, manually subtracted from deposit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$6.57 true over/short cash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received $140 that was deducted from 2/5/23 cc deposit for two $70 chargebacks that were for the same receipt. Emailed activenet to let them know they deducted it twice, and they sent the entire amount back. </t>
        </r>
      </text>
    </comment>
    <comment ref="A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AC4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$19051.93 plus $140 back deposit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refund done at city hall showed up on pool report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note with reports "refunded 6.00 cash per Rick"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33.27 discounts from snack shack deducted from Box Canon deposit, manually added back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17.36 discounts from snack shack deducted from Box Canon deposit, manually added back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9.14 discounts from snack shack deducted from Box Canon deposit, manually added back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40.38 discounts from snack shack deducted from Box Canon deposit, manually added back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6.41 discounts from snack shack deducted from Box Canon deposit, manually added back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1.83 discounts from snack shack deducted from Box Canon deposit, manually added back</t>
        </r>
      </text>
    </comment>
    <comment ref="AN2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10.93 rung up as external credit card, nothing in batch out next day. 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$14 ext cc transaction not entered into ActiveNet</t>
        </r>
      </text>
    </comment>
    <comment ref="AE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C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subtracted 5 for $30 refund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subtracted 1 for $6 refund
</t>
        </r>
      </text>
    </comment>
    <comment ref="AF39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adjusted for cash receipt that should have been charge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<sst xmlns="http://schemas.openxmlformats.org/spreadsheetml/2006/main" count="521" uniqueCount="236">
  <si>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</si>
  <si>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</si>
  <si>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</si>
  <si>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</si>
  <si>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</si>
  <si>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</si>
  <si>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</si>
  <si>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</si>
  <si>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</si>
  <si>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</si>
  <si>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</si>
  <si>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</si>
  <si>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</si>
  <si>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</si>
  <si>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</si>
  <si>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</si>
  <si>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</si>
  <si>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</si>
  <si>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</si>
  <si>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</si>
  <si>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</si>
  <si>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</si>
  <si>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</si>
  <si>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</si>
  <si>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</si>
  <si>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</si>
  <si>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</si>
  <si>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</si>
  <si>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</si>
  <si>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</si>
  <si>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</si>
  <si>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</si>
  <si>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</si>
  <si>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</si>
  <si>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</si>
  <si>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</si>
  <si>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</si>
  <si>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</si>
  <si>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</si>
  <si>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</si>
  <si>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</si>
  <si>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</si>
  <si>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</si>
  <si>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</si>
  <si>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</si>
  <si>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</si>
  <si>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</si>
  <si>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</si>
  <si>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</si>
  <si>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</si>
  <si>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</si>
  <si>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</si>
  <si>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</si>
  <si>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</si>
  <si>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</si>
  <si>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</si>
  <si>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</si>
  <si>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</si>
  <si>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</si>
  <si>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</si>
  <si>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</si>
  <si>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</si>
  <si>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</si>
  <si>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</si>
  <si>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</si>
  <si>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</si>
  <si>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</si>
  <si>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</si>
  <si>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</si>
  <si>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</si>
  <si>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</si>
  <si>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</si>
  <si>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</si>
  <si>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</si>
  <si>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</si>
  <si>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</si>
  <si>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</si>
  <si>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</si>
  <si>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</si>
  <si>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</si>
  <si>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</si>
  <si>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</si>
  <si>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</si>
  <si>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</si>
  <si>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</si>
  <si>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</si>
  <si>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</si>
  <si>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</si>
  <si>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</si>
  <si>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</si>
  <si>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</si>
  <si>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</si>
  <si>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</si>
  <si>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</si>
  <si>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</si>
  <si>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</si>
  <si>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</si>
  <si>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</si>
  <si>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</si>
  <si>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</si>
  <si>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</si>
  <si>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</si>
  <si>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</si>
  <si>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</si>
  <si>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</si>
  <si>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</si>
  <si>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</si>
  <si>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</si>
  <si>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</si>
  <si>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</si>
  <si>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</si>
  <si>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</si>
  <si>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</si>
  <si>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</si>
  <si>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</si>
  <si>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</si>
  <si>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</si>
  <si>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</si>
  <si>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</si>
  <si>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</si>
  <si>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</si>
  <si>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</si>
  <si>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</si>
  <si>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</si>
  <si>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</si>
  <si>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</si>
  <si>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</si>
  <si>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</si>
  <si>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</si>
  <si>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</si>
  <si>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</si>
  <si>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</si>
  <si>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</si>
  <si>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</si>
  <si>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</si>
  <si>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</si>
  <si>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</si>
  <si>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</si>
  <si>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</si>
  <si>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</si>
  <si>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</si>
  <si>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</si>
  <si>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</si>
  <si>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</si>
  <si>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</si>
  <si>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</si>
  <si>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</si>
  <si>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</si>
  <si>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</si>
  <si>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</si>
  <si>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</si>
  <si>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</si>
  <si>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</si>
  <si>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</si>
  <si>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</si>
  <si>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</si>
  <si>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</si>
  <si>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</si>
  <si>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</si>
  <si>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</si>
  <si>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</si>
  <si>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</si>
  <si>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</si>
  <si>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</si>
  <si>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</si>
  <si>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</si>
  <si>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</si>
  <si>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</si>
  <si>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</si>
  <si>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</si>
  <si>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</si>
  <si>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</si>
  <si>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</si>
  <si>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</si>
  <si>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</si>
  <si>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</si>
  <si>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</si>
  <si>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</si>
  <si>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</si>
  <si>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</si>
  <si>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</si>
  <si>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</si>
  <si>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</si>
  <si>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</si>
  <si>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</si>
  <si>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</si>
  <si>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</si>
  <si>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</si>
  <si>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</si>
  <si>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</si>
  <si>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</si>
  <si>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</si>
  <si>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</si>
  <si>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</si>
  <si>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</si>
  <si>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</si>
  <si>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</si>
  <si>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</si>
  <si>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</si>
  <si>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</si>
  <si>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</si>
  <si>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</si>
  <si>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</si>
  <si>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</si>
  <si>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</si>
  <si>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</si>
  <si>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</si>
  <si>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</si>
  <si>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</si>
  <si>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</si>
  <si>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</si>
  <si>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</si>
  <si>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</si>
  <si>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</si>
  <si>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</si>
  <si>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</si>
  <si>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</si>
  <si>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</si>
  <si>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</si>
  <si>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</si>
  <si>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</si>
  <si>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</si>
  <si>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</si>
  <si>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</si>
  <si>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</si>
  <si>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</si>
  <si>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</si>
  <si>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</si>
  <si>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</si>
  <si>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</si>
  <si>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</si>
  <si>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</si>
  <si>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</si>
  <si>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May</t>
  </si>
  <si>
    <t>Deposit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</si>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</sst>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5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2" fontId="12" fillId="7" borderId="46" xfId="0" applyNumberFormat="1" applyFont="1" applyFill="1" applyBorder="1" applyProtection="1"/>
    <xf numFmtId="43" fontId="12" fillId="0" borderId="0" xfId="0" applyNumberFormat="1" applyFont="1" applyProtection="1">
      <protection locked="0"/>
    </xf>
    <xf numFmtId="43" fontId="13" fillId="7" borderId="73" xfId="0" applyNumberFormat="1" applyFont="1" applyFill="1" applyBorder="1" applyProtection="1"/>
    <xf numFmtId="43" fontId="12" fillId="7" borderId="9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2" fontId="45" fillId="7" borderId="46" xfId="0" applyNumberFormat="1" applyFont="1" applyFill="1" applyBorder="1" applyProtection="1"/>
    <xf numFmtId="43" fontId="45" fillId="0" borderId="20" xfId="0" applyNumberFormat="1" applyFont="1" applyBorder="1" applyProtection="1"/>
    <xf numFmtId="43" fontId="45" fillId="0" borderId="18" xfId="0" applyNumberFormat="1" applyFont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43" fontId="45" fillId="7" borderId="20" xfId="0" applyNumberFormat="1" applyFont="1" applyFill="1" applyBorder="1" applyProtection="1"/>
    <xf numFmtId="0" fontId="45" fillId="7" borderId="58" xfId="0" applyFont="1" applyFill="1" applyBorder="1" applyProtection="1"/>
    <xf numFmtId="2" fontId="45" fillId="7" borderId="58" xfId="0" applyNumberFormat="1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9" t="s">
        <v>1</v>
      </c>
      <c r="D4" s="500"/>
      <c r="E4" s="500"/>
      <c r="F4" s="500"/>
      <c r="G4" s="500"/>
      <c r="H4" s="500"/>
      <c r="I4" s="500"/>
      <c r="J4" s="500"/>
      <c r="K4" s="500"/>
      <c r="L4" s="500"/>
      <c r="M4" s="501"/>
      <c r="N4" s="6"/>
      <c r="O4" s="502" t="s">
        <v>2</v>
      </c>
      <c r="P4" s="503"/>
      <c r="Q4" s="503"/>
      <c r="R4" s="504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45047</v>
      </c>
      <c r="B8" s="232" t="str">
        <f>TEXT(A8, "DDD")</f>
        <v>Mon</v>
      </c>
      <c r="C8" s="152">
        <f t="array" ref="C8:C38">TRANSPOSE(Pool!C33:AG33)</f>
        <v>607.80999999999995</v>
      </c>
      <c r="D8" s="58">
        <f>'Box Canon'!C18+'Box Canon'!C19</f>
        <v>0</v>
      </c>
      <c r="E8" s="21"/>
      <c r="F8" s="21"/>
      <c r="G8" s="151">
        <f t="array" ref="G8:G38">TRANSPOSE(Pool!C34:AG34)</f>
        <v>2050.73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45048</v>
      </c>
      <c r="B9" s="232" t="str">
        <f t="shared" ref="B9:B38" si="0">TEXT(A9, "DDD")</f>
        <v>Tue</v>
      </c>
      <c r="C9" s="152">
        <v>375.5</v>
      </c>
      <c r="D9" s="58">
        <f>'Box Canon'!D18+'Box Canon'!D19</f>
        <v>0</v>
      </c>
      <c r="E9" s="21"/>
      <c r="F9" s="21"/>
      <c r="G9" s="151">
        <v>701.97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45049</v>
      </c>
      <c r="B10" s="232" t="str">
        <f t="shared" si="0"/>
        <v>Wed</v>
      </c>
      <c r="C10" s="152">
        <v>545.07000000000005</v>
      </c>
      <c r="D10" s="58">
        <f>'Box Canon'!E18+'Box Canon'!E19</f>
        <v>0</v>
      </c>
      <c r="E10" s="21"/>
      <c r="F10" s="21"/>
      <c r="G10" s="151">
        <v>1806.1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45050</v>
      </c>
      <c r="B11" s="232" t="str">
        <f t="shared" si="0"/>
        <v>Thu</v>
      </c>
      <c r="C11" s="152">
        <v>280.55</v>
      </c>
      <c r="D11" s="58">
        <f>'Box Canon'!F18+'Box Canon'!F19</f>
        <v>0</v>
      </c>
      <c r="E11" s="21"/>
      <c r="F11" s="21"/>
      <c r="G11" s="151">
        <v>2923.08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45051</v>
      </c>
      <c r="B12" s="232" t="str">
        <f t="shared" si="0"/>
        <v>Fri</v>
      </c>
      <c r="C12" s="152">
        <v>604.29999999999995</v>
      </c>
      <c r="D12" s="58">
        <f>'Box Canon'!G18+'Box Canon'!G19</f>
        <v>0</v>
      </c>
      <c r="E12" s="21"/>
      <c r="F12" s="21"/>
      <c r="G12" s="151">
        <v>3087.99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45052</v>
      </c>
      <c r="B13" s="232" t="str">
        <f t="shared" si="0"/>
        <v>Sat</v>
      </c>
      <c r="C13" s="152">
        <v>1235.72</v>
      </c>
      <c r="D13" s="58">
        <f>'Box Canon'!H18+'Box Canon'!H19</f>
        <v>0</v>
      </c>
      <c r="E13" s="21"/>
      <c r="F13" s="21"/>
      <c r="G13" s="151">
        <v>5454.4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45053</v>
      </c>
      <c r="B14" s="232" t="str">
        <f t="shared" si="0"/>
        <v>Sun</v>
      </c>
      <c r="C14" s="152">
        <v>601.78</v>
      </c>
      <c r="D14" s="58">
        <f>'Box Canon'!I18+'Box Canon'!I19</f>
        <v>0</v>
      </c>
      <c r="E14" s="21"/>
      <c r="F14" s="21"/>
      <c r="G14" s="151">
        <v>2801.76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45054</v>
      </c>
      <c r="B15" s="232" t="str">
        <f t="shared" si="0"/>
        <v>Mon</v>
      </c>
      <c r="C15" s="152">
        <v>0</v>
      </c>
      <c r="D15" s="58">
        <f>'Box Canon'!J18+'Box Canon'!J19</f>
        <v>0</v>
      </c>
      <c r="E15" s="21"/>
      <c r="F15" s="21"/>
      <c r="G15" s="151">
        <v>590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45055</v>
      </c>
      <c r="B16" s="232" t="str">
        <f t="shared" si="0"/>
        <v>Tue</v>
      </c>
      <c r="C16" s="152">
        <v>423.36</v>
      </c>
      <c r="D16" s="58">
        <f>'Box Canon'!K18+'Box Canon'!K19</f>
        <v>0</v>
      </c>
      <c r="E16" s="21"/>
      <c r="F16" s="21"/>
      <c r="G16" s="151">
        <v>1174.6199999999999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45056</v>
      </c>
      <c r="B17" s="232" t="str">
        <f t="shared" si="0"/>
        <v>Wed</v>
      </c>
      <c r="C17" s="152">
        <v>240.36</v>
      </c>
      <c r="D17" s="58">
        <f>'Box Canon'!L18+'Box Canon'!L19</f>
        <v>0</v>
      </c>
      <c r="E17" s="21"/>
      <c r="F17" s="21"/>
      <c r="G17" s="151">
        <v>3480.74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45057</v>
      </c>
      <c r="B18" s="232" t="str">
        <f t="shared" si="0"/>
        <v>Thu</v>
      </c>
      <c r="C18" s="152">
        <v>315.33999999999997</v>
      </c>
      <c r="D18" s="58">
        <f>'Box Canon'!M18+'Box Canon'!M19</f>
        <v>0</v>
      </c>
      <c r="E18" s="21"/>
      <c r="F18" s="21"/>
      <c r="G18" s="151">
        <v>2129.37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45058</v>
      </c>
      <c r="B19" s="232" t="str">
        <f t="shared" si="0"/>
        <v>Fri</v>
      </c>
      <c r="C19" s="152">
        <v>721.54</v>
      </c>
      <c r="D19" s="58">
        <f>'Box Canon'!N18+'Box Canon'!N19</f>
        <v>259.07</v>
      </c>
      <c r="E19" s="21"/>
      <c r="F19" s="21"/>
      <c r="G19" s="151">
        <v>3205.63</v>
      </c>
      <c r="H19" s="153">
        <v>0</v>
      </c>
      <c r="I19" s="151">
        <f>'Box Canon'!N20+'Box Canon'!N21</f>
        <v>280.73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45059</v>
      </c>
      <c r="B20" s="232" t="str">
        <f t="shared" si="0"/>
        <v>Sat</v>
      </c>
      <c r="C20" s="152">
        <v>969.17</v>
      </c>
      <c r="D20" s="58">
        <f>'Box Canon'!O18+'Box Canon'!O19</f>
        <v>366.81</v>
      </c>
      <c r="E20" s="21"/>
      <c r="F20" s="21"/>
      <c r="G20" s="151">
        <v>6076.32</v>
      </c>
      <c r="H20" s="153">
        <v>0</v>
      </c>
      <c r="I20" s="151">
        <f>'Box Canon'!O20+'Box Canon'!O21</f>
        <v>1054.33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45060</v>
      </c>
      <c r="B21" s="232" t="str">
        <f t="shared" si="0"/>
        <v>Sun</v>
      </c>
      <c r="C21" s="152">
        <v>1299.53</v>
      </c>
      <c r="D21" s="58">
        <f>'Box Canon'!P18+'Box Canon'!P19</f>
        <v>407.15</v>
      </c>
      <c r="E21" s="41"/>
      <c r="F21" s="21"/>
      <c r="G21" s="151">
        <v>5989.85</v>
      </c>
      <c r="H21" s="153">
        <v>0</v>
      </c>
      <c r="I21" s="151">
        <f>'Box Canon'!P20+'Box Canon'!P21</f>
        <v>890.19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45061</v>
      </c>
      <c r="B22" s="232" t="str">
        <f t="shared" si="0"/>
        <v>Mon</v>
      </c>
      <c r="C22" s="152">
        <v>653.55999999999995</v>
      </c>
      <c r="D22" s="58">
        <f>'Box Canon'!Q18+'Box Canon'!Q19</f>
        <v>243.7</v>
      </c>
      <c r="E22" s="21"/>
      <c r="F22" s="21"/>
      <c r="G22" s="151">
        <v>3838.31</v>
      </c>
      <c r="H22" s="153">
        <v>0</v>
      </c>
      <c r="I22" s="151">
        <f>'Box Canon'!Q20+'Box Canon'!Q21</f>
        <v>547.78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45062</v>
      </c>
      <c r="B23" s="232" t="str">
        <f t="shared" si="0"/>
        <v>Tue</v>
      </c>
      <c r="C23" s="152">
        <v>496.07</v>
      </c>
      <c r="D23" s="58">
        <f>'Box Canon'!R18+'Box Canon'!R19</f>
        <v>365.75</v>
      </c>
      <c r="E23" s="21"/>
      <c r="F23" s="21"/>
      <c r="G23" s="151">
        <v>3332.48</v>
      </c>
      <c r="H23" s="153">
        <v>0</v>
      </c>
      <c r="I23" s="151">
        <f>'Box Canon'!R20+'Box Canon'!R21</f>
        <v>1049.5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45063</v>
      </c>
      <c r="B24" s="232" t="str">
        <f t="shared" si="0"/>
        <v>Wed</v>
      </c>
      <c r="C24" s="152">
        <v>655.01</v>
      </c>
      <c r="D24" s="58">
        <f>'Box Canon'!S18+'Box Canon'!S19</f>
        <v>455.81</v>
      </c>
      <c r="E24" s="21"/>
      <c r="F24" s="21"/>
      <c r="G24" s="151">
        <v>3047.72</v>
      </c>
      <c r="H24" s="153" t="str">
        <v xml:space="preserve"> </v>
      </c>
      <c r="I24" s="151">
        <f>'Box Canon'!S20+'Box Canon'!S21</f>
        <v>573.32000000000005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45064</v>
      </c>
      <c r="B25" s="232" t="str">
        <f t="shared" si="0"/>
        <v>Thu</v>
      </c>
      <c r="C25" s="152">
        <v>292.13</v>
      </c>
      <c r="D25" s="58">
        <f>'Box Canon'!T18+'Box Canon'!T19</f>
        <v>446.86</v>
      </c>
      <c r="E25" s="21"/>
      <c r="F25" s="21"/>
      <c r="G25" s="151">
        <v>2961.36</v>
      </c>
      <c r="H25" s="153">
        <v>0</v>
      </c>
      <c r="I25" s="151">
        <f>'Box Canon'!T20+'Box Canon'!T21</f>
        <v>766.85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45065</v>
      </c>
      <c r="B26" s="232" t="str">
        <f t="shared" si="0"/>
        <v>Fri</v>
      </c>
      <c r="C26" s="152">
        <v>655.75</v>
      </c>
      <c r="D26" s="58">
        <f>'Box Canon'!U18+'Box Canon'!U19</f>
        <v>761.79</v>
      </c>
      <c r="E26" s="21"/>
      <c r="F26" s="21"/>
      <c r="G26" s="151">
        <v>5745.64</v>
      </c>
      <c r="H26" s="153">
        <v>0</v>
      </c>
      <c r="I26" s="151">
        <f>'Box Canon'!U20+'Box Canon'!U21</f>
        <v>642.82000000000005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45066</v>
      </c>
      <c r="B27" s="232" t="str">
        <f t="shared" si="0"/>
        <v>Sat</v>
      </c>
      <c r="C27" s="152">
        <v>920.68</v>
      </c>
      <c r="D27" s="58">
        <f>'Box Canon'!V18+'Box Canon'!V19</f>
        <v>557.27</v>
      </c>
      <c r="E27" s="21"/>
      <c r="F27" s="21"/>
      <c r="G27" s="151">
        <v>7057.53</v>
      </c>
      <c r="H27" s="153">
        <v>0</v>
      </c>
      <c r="I27" s="151">
        <f>'Box Canon'!V20+'Box Canon'!V21</f>
        <v>1136.21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45067</v>
      </c>
      <c r="B28" s="232" t="str">
        <f t="shared" si="0"/>
        <v>Sun</v>
      </c>
      <c r="C28" s="152">
        <v>974.08</v>
      </c>
      <c r="D28" s="58">
        <f>'Box Canon'!W18+'Box Canon'!W19</f>
        <v>788.35</v>
      </c>
      <c r="E28" s="21"/>
      <c r="F28" s="21"/>
      <c r="G28" s="151">
        <v>5457.55</v>
      </c>
      <c r="H28" s="153" t="str">
        <v xml:space="preserve"> </v>
      </c>
      <c r="I28" s="151">
        <f>'Box Canon'!W20+'Box Canon'!W21</f>
        <v>1200.99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45068</v>
      </c>
      <c r="B29" s="232" t="str">
        <f t="shared" si="0"/>
        <v>Mon</v>
      </c>
      <c r="C29" s="152">
        <v>697.67</v>
      </c>
      <c r="D29" s="58">
        <f>'Box Canon'!X18+'Box Canon'!X19</f>
        <v>526.62</v>
      </c>
      <c r="E29" s="21"/>
      <c r="F29" s="21"/>
      <c r="G29" s="151">
        <v>4121.12</v>
      </c>
      <c r="H29" s="153">
        <v>0</v>
      </c>
      <c r="I29" s="151">
        <f>'Box Canon'!X20+'Box Canon'!X21</f>
        <v>938.64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45069</v>
      </c>
      <c r="B30" s="232" t="str">
        <f t="shared" si="0"/>
        <v>Tue</v>
      </c>
      <c r="C30" s="152">
        <v>1586.97</v>
      </c>
      <c r="D30" s="58">
        <f>'Box Canon'!Y18+'Box Canon'!Y19</f>
        <v>637.58000000000004</v>
      </c>
      <c r="E30" s="21"/>
      <c r="F30" s="21"/>
      <c r="G30" s="151">
        <v>2935.63</v>
      </c>
      <c r="H30" s="153">
        <v>0</v>
      </c>
      <c r="I30" s="151">
        <f>'Box Canon'!Y20+'Box Canon'!Y21</f>
        <v>1012.4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45070</v>
      </c>
      <c r="B31" s="232" t="str">
        <f t="shared" si="0"/>
        <v>Wed</v>
      </c>
      <c r="C31" s="152">
        <v>967.63</v>
      </c>
      <c r="D31" s="58">
        <f>'Box Canon'!Z18+'Box Canon'!Z19</f>
        <v>615.25</v>
      </c>
      <c r="E31" s="21"/>
      <c r="F31" s="21"/>
      <c r="G31" s="151">
        <v>5238.58</v>
      </c>
      <c r="H31" s="153">
        <v>0</v>
      </c>
      <c r="I31" s="151">
        <f>'Box Canon'!Z20+'Box Canon'!Z21</f>
        <v>940.71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45071</v>
      </c>
      <c r="B32" s="232" t="str">
        <f t="shared" si="0"/>
        <v>Thu</v>
      </c>
      <c r="C32" s="152">
        <v>1154.03</v>
      </c>
      <c r="D32" s="58">
        <f>'Box Canon'!AA18+'Box Canon'!AA19</f>
        <v>780.49</v>
      </c>
      <c r="E32" s="21"/>
      <c r="F32" s="21"/>
      <c r="G32" s="151">
        <v>5060.5</v>
      </c>
      <c r="H32" s="153">
        <v>0</v>
      </c>
      <c r="I32" s="151">
        <f>'Box Canon'!AA20+'Box Canon'!AA21</f>
        <v>1398.75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45072</v>
      </c>
      <c r="B33" s="232" t="str">
        <f t="shared" si="0"/>
        <v>Fri</v>
      </c>
      <c r="C33" s="152">
        <v>1152.1300000000001</v>
      </c>
      <c r="D33" s="58">
        <f>'Box Canon'!AB18+'Box Canon'!AB19</f>
        <v>648.23</v>
      </c>
      <c r="E33" s="21"/>
      <c r="F33" s="21"/>
      <c r="G33" s="151">
        <v>7581.37</v>
      </c>
      <c r="H33" s="153">
        <v>0</v>
      </c>
      <c r="I33" s="151">
        <f>'Box Canon'!AB20+'Box Canon'!AB21</f>
        <v>1290.29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45073</v>
      </c>
      <c r="B34" s="232" t="str">
        <f t="shared" si="0"/>
        <v>Sat</v>
      </c>
      <c r="C34" s="152">
        <v>3186.34</v>
      </c>
      <c r="D34" s="58">
        <f>'Box Canon'!AC18+'Box Canon'!AC19</f>
        <v>1379.01</v>
      </c>
      <c r="E34" s="21"/>
      <c r="F34" s="21"/>
      <c r="G34" s="151">
        <v>19782.02</v>
      </c>
      <c r="H34" s="153">
        <v>0</v>
      </c>
      <c r="I34" s="151">
        <f>'Box Canon'!AC20+'Box Canon'!AC21</f>
        <v>4032.38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45074</v>
      </c>
      <c r="B35" s="232" t="str">
        <f t="shared" si="0"/>
        <v>Sun</v>
      </c>
      <c r="C35" s="152">
        <v>3562.66</v>
      </c>
      <c r="D35" s="58">
        <f>'Box Canon'!AD18+'Box Canon'!AD19</f>
        <v>1583.38</v>
      </c>
      <c r="E35" s="21"/>
      <c r="F35" s="21"/>
      <c r="G35" s="151">
        <v>24340.35</v>
      </c>
      <c r="H35" s="153">
        <v>0</v>
      </c>
      <c r="I35" s="151">
        <f>'Box Canon'!AD20+'Box Canon'!AD21</f>
        <v>4466.97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45075</v>
      </c>
      <c r="B36" s="232" t="str">
        <f t="shared" si="0"/>
        <v>Mon</v>
      </c>
      <c r="C36" s="152">
        <v>2579.98</v>
      </c>
      <c r="D36" s="58">
        <f>'Box Canon'!AE18+'Box Canon'!AE19</f>
        <v>875.07</v>
      </c>
      <c r="E36" s="42"/>
      <c r="F36" s="21"/>
      <c r="G36" s="151">
        <v>14256.13</v>
      </c>
      <c r="H36" s="153">
        <v>0</v>
      </c>
      <c r="I36" s="151">
        <f>'Box Canon'!AE20+'Box Canon'!AE21</f>
        <v>3036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45076</v>
      </c>
      <c r="B37" s="232" t="str">
        <f t="shared" si="0"/>
        <v>Tue</v>
      </c>
      <c r="C37" s="152">
        <v>654.48</v>
      </c>
      <c r="D37" s="58">
        <f>'Box Canon'!AF18+'Box Canon'!AF19</f>
        <v>704.91000000000008</v>
      </c>
      <c r="E37" s="21"/>
      <c r="F37" s="21"/>
      <c r="G37" s="151">
        <v>11181.69</v>
      </c>
      <c r="H37" s="153">
        <v>0</v>
      </c>
      <c r="I37" s="151">
        <f>'Box Canon'!AF20+'Box Canon'!AF21</f>
        <v>1865.92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45077</v>
      </c>
      <c r="B38" s="232" t="str">
        <f t="shared" si="0"/>
        <v>Wed</v>
      </c>
      <c r="C38" s="152">
        <v>1478.71</v>
      </c>
      <c r="D38" s="58">
        <f>'Box Canon'!AG18+'Box Canon'!AG19</f>
        <v>937.09</v>
      </c>
      <c r="E38" s="21"/>
      <c r="F38" s="21"/>
      <c r="G38" s="151">
        <v>10663.21</v>
      </c>
      <c r="H38" s="153">
        <v>0</v>
      </c>
      <c r="I38" s="151">
        <f>'Box Canon'!AG20+'Box Canon'!AG21</f>
        <v>1761.59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29887.909999999996</v>
      </c>
      <c r="D40" s="171">
        <f t="shared" ref="D40:M40" si="2">SUM(D8:D39)</f>
        <v>13340.189999999999</v>
      </c>
      <c r="E40" s="172">
        <f t="shared" si="2"/>
        <v>0</v>
      </c>
      <c r="F40" s="172">
        <f t="shared" si="2"/>
        <v>0</v>
      </c>
      <c r="G40" s="171">
        <f>SUM(G8:G38)</f>
        <v>178073.75</v>
      </c>
      <c r="H40" s="171">
        <f>SUM(H8:H38)</f>
        <v>0</v>
      </c>
      <c r="I40" s="171">
        <f>SUM(I8:I38)</f>
        <v>28886.37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250188.21999999997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43228.099999999991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V4" activePane="bottomRight" state="frozen"/>
      <selection pane="topRight" activeCell="C1" sqref="C1"/>
      <selection pane="bottomLeft" activeCell="A3" sqref="A3"/>
      <selection pane="bottomRight" activeCell="AG34" activeCellId="1" sqref="AG45 AG34"/>
    </sheetView>
  </sheetViews>
  <sheetFormatPr defaultColWidth="9.140625" defaultRowHeight="15.75" x14ac:dyDescent="0.25"/>
  <cols>
    <col min="1" max="1" width="10.42578125" style="59" bestFit="1" customWidth="1"/>
    <col min="2" max="2" width="36.42578125" style="60" customWidth="1"/>
    <col min="3" max="31" width="10" style="60" customWidth="1"/>
    <col min="32" max="32" width="10.5703125" style="60" bestFit="1" customWidth="1"/>
    <col min="3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May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45047</v>
      </c>
      <c r="D2" s="106">
        <f>C2+1</f>
        <v>45048</v>
      </c>
      <c r="E2" s="106">
        <f>D2+1</f>
        <v>45049</v>
      </c>
      <c r="F2" s="106">
        <f t="shared" ref="F2:AG2" si="0">E2+1</f>
        <v>45050</v>
      </c>
      <c r="G2" s="106">
        <f t="shared" si="0"/>
        <v>45051</v>
      </c>
      <c r="H2" s="106">
        <f t="shared" si="0"/>
        <v>45052</v>
      </c>
      <c r="I2" s="106">
        <f t="shared" si="0"/>
        <v>45053</v>
      </c>
      <c r="J2" s="106">
        <f t="shared" si="0"/>
        <v>45054</v>
      </c>
      <c r="K2" s="106">
        <f t="shared" si="0"/>
        <v>45055</v>
      </c>
      <c r="L2" s="106">
        <f t="shared" si="0"/>
        <v>45056</v>
      </c>
      <c r="M2" s="106">
        <f t="shared" si="0"/>
        <v>45057</v>
      </c>
      <c r="N2" s="106">
        <f t="shared" si="0"/>
        <v>45058</v>
      </c>
      <c r="O2" s="106">
        <f t="shared" si="0"/>
        <v>45059</v>
      </c>
      <c r="P2" s="106">
        <f t="shared" si="0"/>
        <v>45060</v>
      </c>
      <c r="Q2" s="106">
        <f t="shared" si="0"/>
        <v>45061</v>
      </c>
      <c r="R2" s="106">
        <f t="shared" si="0"/>
        <v>45062</v>
      </c>
      <c r="S2" s="106">
        <f t="shared" si="0"/>
        <v>45063</v>
      </c>
      <c r="T2" s="106">
        <f t="shared" si="0"/>
        <v>45064</v>
      </c>
      <c r="U2" s="106">
        <f t="shared" si="0"/>
        <v>45065</v>
      </c>
      <c r="V2" s="106">
        <f t="shared" si="0"/>
        <v>45066</v>
      </c>
      <c r="W2" s="106">
        <f t="shared" si="0"/>
        <v>45067</v>
      </c>
      <c r="X2" s="106">
        <f t="shared" si="0"/>
        <v>45068</v>
      </c>
      <c r="Y2" s="106">
        <f t="shared" si="0"/>
        <v>45069</v>
      </c>
      <c r="Z2" s="106">
        <f t="shared" si="0"/>
        <v>45070</v>
      </c>
      <c r="AA2" s="106">
        <f t="shared" si="0"/>
        <v>45071</v>
      </c>
      <c r="AB2" s="106">
        <f t="shared" si="0"/>
        <v>45072</v>
      </c>
      <c r="AC2" s="106">
        <f t="shared" si="0"/>
        <v>45073</v>
      </c>
      <c r="AD2" s="106">
        <f t="shared" si="0"/>
        <v>45074</v>
      </c>
      <c r="AE2" s="106">
        <f t="shared" si="0"/>
        <v>45075</v>
      </c>
      <c r="AF2" s="106">
        <f t="shared" si="0"/>
        <v>45076</v>
      </c>
      <c r="AG2" s="106">
        <f t="shared" si="0"/>
        <v>45077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6.79</v>
      </c>
      <c r="D3" s="185">
        <v>2.25</v>
      </c>
      <c r="E3" s="185">
        <v>23.93</v>
      </c>
      <c r="F3" s="185">
        <v>11.83</v>
      </c>
      <c r="G3" s="185">
        <v>10.53</v>
      </c>
      <c r="H3" s="185">
        <v>27.22</v>
      </c>
      <c r="I3" s="185">
        <v>5.65</v>
      </c>
      <c r="J3" s="185"/>
      <c r="K3" s="185">
        <v>12.8</v>
      </c>
      <c r="L3" s="185">
        <v>10.16</v>
      </c>
      <c r="M3" s="185">
        <v>7.69</v>
      </c>
      <c r="N3" s="185">
        <v>16.649999999999999</v>
      </c>
      <c r="O3" s="185">
        <v>25.94</v>
      </c>
      <c r="P3" s="185">
        <v>18.149999999999999</v>
      </c>
      <c r="Q3" s="185">
        <v>19.399999999999999</v>
      </c>
      <c r="R3" s="185">
        <v>7.64</v>
      </c>
      <c r="S3" s="185">
        <v>12.18</v>
      </c>
      <c r="T3" s="185">
        <v>12.46</v>
      </c>
      <c r="U3" s="185">
        <v>23.87</v>
      </c>
      <c r="V3" s="185">
        <v>30.18</v>
      </c>
      <c r="W3" s="185">
        <v>25.4</v>
      </c>
      <c r="X3" s="185">
        <v>20.36</v>
      </c>
      <c r="Y3" s="185">
        <v>33.74</v>
      </c>
      <c r="Z3" s="185">
        <v>36.58</v>
      </c>
      <c r="AA3" s="185">
        <v>38.700000000000003</v>
      </c>
      <c r="AB3" s="185">
        <v>41.25</v>
      </c>
      <c r="AC3" s="185">
        <v>131.38</v>
      </c>
      <c r="AD3" s="185">
        <v>159.51</v>
      </c>
      <c r="AE3" s="185">
        <v>98.1</v>
      </c>
      <c r="AF3" s="185">
        <v>45.31</v>
      </c>
      <c r="AG3" s="185">
        <v>35.19</v>
      </c>
      <c r="AH3" s="108">
        <f>SUM(C3:AG3)</f>
        <v>950.84000000000015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2131.4</v>
      </c>
      <c r="D4" s="72">
        <v>293.60000000000002</v>
      </c>
      <c r="E4" s="71">
        <v>1850.4</v>
      </c>
      <c r="F4" s="71">
        <v>2224.8000000000002</v>
      </c>
      <c r="G4" s="71">
        <v>2347.6</v>
      </c>
      <c r="H4" s="71">
        <v>6109.6</v>
      </c>
      <c r="I4" s="71">
        <v>2647.2</v>
      </c>
      <c r="J4" s="71">
        <v>-52</v>
      </c>
      <c r="K4" s="71">
        <v>1442</v>
      </c>
      <c r="L4" s="71">
        <v>2478</v>
      </c>
      <c r="M4" s="71">
        <v>1508.8</v>
      </c>
      <c r="N4" s="71">
        <v>2848.4</v>
      </c>
      <c r="O4" s="71">
        <v>5876.4</v>
      </c>
      <c r="P4" s="71">
        <v>5758</v>
      </c>
      <c r="Q4" s="71">
        <v>2850.4</v>
      </c>
      <c r="R4" s="71">
        <v>2343.6</v>
      </c>
      <c r="S4" s="71">
        <v>2240.8000000000002</v>
      </c>
      <c r="T4" s="71">
        <v>1832</v>
      </c>
      <c r="U4" s="71">
        <v>4136</v>
      </c>
      <c r="V4" s="71">
        <v>6862.4</v>
      </c>
      <c r="W4" s="71">
        <f>5340.8-105</f>
        <v>5235.8</v>
      </c>
      <c r="X4" s="71">
        <v>3180.4</v>
      </c>
      <c r="Y4" s="71">
        <v>2615.6</v>
      </c>
      <c r="Z4" s="71">
        <v>4739.6000000000004</v>
      </c>
      <c r="AA4" s="71">
        <v>5524.4</v>
      </c>
      <c r="AB4" s="71">
        <v>5953.8</v>
      </c>
      <c r="AC4" s="71">
        <v>17287.599999999999</v>
      </c>
      <c r="AD4" s="71">
        <v>21561.4</v>
      </c>
      <c r="AE4" s="71">
        <v>12292.4</v>
      </c>
      <c r="AF4" s="71">
        <v>8120.4</v>
      </c>
      <c r="AG4" s="71">
        <v>8943.6</v>
      </c>
      <c r="AH4" s="108">
        <f t="shared" ref="AH4:AH28" si="1">SUM(C4:AG4)</f>
        <v>153184.4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7" customFormat="1" x14ac:dyDescent="0.25">
      <c r="A6" s="162" t="s">
        <v>152</v>
      </c>
      <c r="B6" s="163" t="s">
        <v>231</v>
      </c>
      <c r="C6" s="479">
        <v>125</v>
      </c>
      <c r="D6" s="480">
        <v>175</v>
      </c>
      <c r="E6" s="480">
        <v>50</v>
      </c>
      <c r="F6" s="480">
        <v>560</v>
      </c>
      <c r="G6" s="480">
        <v>670</v>
      </c>
      <c r="H6" s="480"/>
      <c r="I6" s="480">
        <v>275</v>
      </c>
      <c r="J6" s="480">
        <v>485</v>
      </c>
      <c r="K6" s="480"/>
      <c r="L6" s="480">
        <v>747.5</v>
      </c>
      <c r="M6" s="480">
        <v>197.5</v>
      </c>
      <c r="N6" s="480">
        <v>545</v>
      </c>
      <c r="O6" s="480"/>
      <c r="P6" s="480"/>
      <c r="Q6" s="480">
        <v>695</v>
      </c>
      <c r="R6" s="480">
        <v>932.5</v>
      </c>
      <c r="S6" s="480">
        <v>480</v>
      </c>
      <c r="T6" s="480">
        <v>695</v>
      </c>
      <c r="U6" s="480">
        <v>605</v>
      </c>
      <c r="V6" s="480"/>
      <c r="W6" s="480">
        <v>485</v>
      </c>
      <c r="X6" s="480">
        <v>165</v>
      </c>
      <c r="Y6" s="480">
        <v>661</v>
      </c>
      <c r="Z6" s="480">
        <v>305</v>
      </c>
      <c r="AA6" s="480"/>
      <c r="AB6" s="480">
        <v>1070</v>
      </c>
      <c r="AC6" s="480">
        <v>153</v>
      </c>
      <c r="AD6" s="480">
        <v>855</v>
      </c>
      <c r="AE6" s="480">
        <v>645</v>
      </c>
      <c r="AF6" s="480">
        <v>1172.5</v>
      </c>
      <c r="AG6" s="480">
        <v>550</v>
      </c>
      <c r="AH6" s="108">
        <f>SUM(C6:AG6)</f>
        <v>13299</v>
      </c>
      <c r="AI6" s="62"/>
      <c r="AJ6" s="162" t="s">
        <v>152</v>
      </c>
      <c r="AK6" s="163" t="s">
        <v>192</v>
      </c>
      <c r="AM6" s="481"/>
    </row>
    <row r="7" spans="1:39" s="467" customFormat="1" x14ac:dyDescent="0.25">
      <c r="A7" s="162" t="s">
        <v>152</v>
      </c>
      <c r="B7" s="163" t="s">
        <v>222</v>
      </c>
      <c r="C7" s="479"/>
      <c r="D7" s="480"/>
      <c r="E7" s="480">
        <v>180</v>
      </c>
      <c r="F7" s="480"/>
      <c r="G7" s="480"/>
      <c r="H7" s="480">
        <v>180</v>
      </c>
      <c r="I7" s="480">
        <v>320</v>
      </c>
      <c r="J7" s="480"/>
      <c r="K7" s="480"/>
      <c r="L7" s="480">
        <v>180</v>
      </c>
      <c r="M7" s="480">
        <v>540</v>
      </c>
      <c r="N7" s="480">
        <v>180</v>
      </c>
      <c r="O7" s="480">
        <v>860</v>
      </c>
      <c r="P7" s="480">
        <v>1360</v>
      </c>
      <c r="Q7" s="480">
        <v>540</v>
      </c>
      <c r="R7" s="480">
        <v>360</v>
      </c>
      <c r="S7" s="480">
        <v>500</v>
      </c>
      <c r="T7" s="480">
        <v>320</v>
      </c>
      <c r="U7" s="480">
        <v>1000</v>
      </c>
      <c r="V7" s="480">
        <v>720</v>
      </c>
      <c r="W7" s="480">
        <v>360</v>
      </c>
      <c r="X7" s="480">
        <v>1040</v>
      </c>
      <c r="Y7" s="480">
        <v>180</v>
      </c>
      <c r="Z7" s="480">
        <v>320</v>
      </c>
      <c r="AA7" s="480">
        <v>180</v>
      </c>
      <c r="AB7" s="480">
        <v>1180</v>
      </c>
      <c r="AC7" s="480">
        <v>1860</v>
      </c>
      <c r="AD7" s="480">
        <v>2260</v>
      </c>
      <c r="AE7" s="480">
        <v>1580</v>
      </c>
      <c r="AF7" s="480">
        <v>1080</v>
      </c>
      <c r="AG7" s="480">
        <v>860</v>
      </c>
      <c r="AH7" s="108">
        <f>SUM(C7:AG7)</f>
        <v>18140</v>
      </c>
      <c r="AI7" s="62"/>
      <c r="AJ7" s="162" t="s">
        <v>152</v>
      </c>
      <c r="AK7" s="163" t="s">
        <v>222</v>
      </c>
      <c r="AM7" s="481"/>
    </row>
    <row r="8" spans="1:39" s="467" customFormat="1" x14ac:dyDescent="0.25">
      <c r="A8" s="162" t="s">
        <v>157</v>
      </c>
      <c r="B8" s="163" t="s">
        <v>229</v>
      </c>
      <c r="C8" s="479"/>
      <c r="D8" s="480"/>
      <c r="E8" s="480"/>
      <c r="F8" s="480"/>
      <c r="G8" s="480"/>
      <c r="H8" s="480"/>
      <c r="I8" s="480"/>
      <c r="J8" s="480"/>
      <c r="K8" s="480"/>
      <c r="L8" s="480"/>
      <c r="M8" s="480"/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  <c r="AA8" s="480"/>
      <c r="AB8" s="480"/>
      <c r="AC8" s="480"/>
      <c r="AD8" s="480"/>
      <c r="AE8" s="480"/>
      <c r="AF8" s="480"/>
      <c r="AG8" s="480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81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>
        <v>16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>
        <v>981</v>
      </c>
      <c r="AD9" s="72">
        <v>1050</v>
      </c>
      <c r="AE9" s="72">
        <v>778</v>
      </c>
      <c r="AF9" s="72">
        <v>337</v>
      </c>
      <c r="AG9" s="72">
        <v>1356</v>
      </c>
      <c r="AH9" s="108">
        <f>SUM(C9:AG9)</f>
        <v>4518</v>
      </c>
      <c r="AJ9" s="69" t="s">
        <v>173</v>
      </c>
      <c r="AK9" s="70" t="s">
        <v>63</v>
      </c>
      <c r="AM9" s="210"/>
    </row>
    <row r="10" spans="1:39" s="467" customFormat="1" x14ac:dyDescent="0.25">
      <c r="A10" s="162" t="s">
        <v>159</v>
      </c>
      <c r="B10" s="163" t="s">
        <v>230</v>
      </c>
      <c r="C10" s="479"/>
      <c r="D10" s="480"/>
      <c r="E10" s="480"/>
      <c r="F10" s="480">
        <v>1</v>
      </c>
      <c r="G10" s="480"/>
      <c r="H10" s="480"/>
      <c r="I10" s="480"/>
      <c r="J10" s="480"/>
      <c r="K10" s="480"/>
      <c r="L10" s="480"/>
      <c r="M10" s="480"/>
      <c r="N10" s="480"/>
      <c r="O10" s="480"/>
      <c r="P10" s="480"/>
      <c r="Q10" s="480"/>
      <c r="R10" s="480"/>
      <c r="S10" s="480"/>
      <c r="T10" s="480"/>
      <c r="U10" s="480"/>
      <c r="V10" s="480"/>
      <c r="W10" s="480"/>
      <c r="X10" s="480"/>
      <c r="Y10" s="480"/>
      <c r="Z10" s="480"/>
      <c r="AA10" s="480"/>
      <c r="AB10" s="480"/>
      <c r="AC10" s="480"/>
      <c r="AD10" s="480"/>
      <c r="AE10" s="480"/>
      <c r="AF10" s="480"/>
      <c r="AG10" s="480"/>
      <c r="AH10" s="108">
        <f t="shared" si="2"/>
        <v>1</v>
      </c>
      <c r="AI10" s="62"/>
      <c r="AJ10" s="162" t="s">
        <v>159</v>
      </c>
      <c r="AK10" s="163" t="s">
        <v>160</v>
      </c>
      <c r="AM10" s="481"/>
    </row>
    <row r="11" spans="1:39" s="467" customFormat="1" hidden="1" x14ac:dyDescent="0.25">
      <c r="A11" s="162" t="s">
        <v>153</v>
      </c>
      <c r="B11" s="163" t="s">
        <v>154</v>
      </c>
      <c r="C11" s="479"/>
      <c r="D11" s="480"/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  <c r="AA11" s="480"/>
      <c r="AB11" s="480"/>
      <c r="AC11" s="480"/>
      <c r="AD11" s="480"/>
      <c r="AE11" s="480"/>
      <c r="AF11" s="480"/>
      <c r="AG11" s="480"/>
      <c r="AH11" s="108">
        <f t="shared" si="2"/>
        <v>0</v>
      </c>
      <c r="AI11" s="62"/>
      <c r="AJ11" s="162" t="s">
        <v>153</v>
      </c>
      <c r="AK11" s="163" t="s">
        <v>154</v>
      </c>
      <c r="AM11" s="481"/>
    </row>
    <row r="12" spans="1:39" s="467" customFormat="1" hidden="1" x14ac:dyDescent="0.25">
      <c r="A12" s="162" t="s">
        <v>164</v>
      </c>
      <c r="B12" s="163" t="s">
        <v>165</v>
      </c>
      <c r="C12" s="479"/>
      <c r="D12" s="480"/>
      <c r="E12" s="480"/>
      <c r="F12" s="480"/>
      <c r="G12" s="480"/>
      <c r="H12" s="480"/>
      <c r="I12" s="480"/>
      <c r="J12" s="480"/>
      <c r="K12" s="480"/>
      <c r="L12" s="480"/>
      <c r="M12" s="480"/>
      <c r="N12" s="480"/>
      <c r="O12" s="480"/>
      <c r="P12" s="480"/>
      <c r="Q12" s="480"/>
      <c r="R12" s="480"/>
      <c r="S12" s="480"/>
      <c r="T12" s="480"/>
      <c r="U12" s="480"/>
      <c r="V12" s="480"/>
      <c r="W12" s="480"/>
      <c r="X12" s="480"/>
      <c r="Y12" s="480"/>
      <c r="Z12" s="480"/>
      <c r="AA12" s="480"/>
      <c r="AB12" s="480"/>
      <c r="AC12" s="480"/>
      <c r="AD12" s="480"/>
      <c r="AE12" s="480"/>
      <c r="AF12" s="480"/>
      <c r="AG12" s="480"/>
      <c r="AH12" s="108">
        <f t="shared" si="2"/>
        <v>0</v>
      </c>
      <c r="AI12" s="62"/>
      <c r="AJ12" s="162" t="s">
        <v>164</v>
      </c>
      <c r="AK12" s="163" t="s">
        <v>165</v>
      </c>
      <c r="AM12" s="481"/>
    </row>
    <row r="13" spans="1:39" s="467" customFormat="1" hidden="1" x14ac:dyDescent="0.25">
      <c r="A13" s="162" t="s">
        <v>166</v>
      </c>
      <c r="B13" s="163" t="s">
        <v>167</v>
      </c>
      <c r="C13" s="479"/>
      <c r="D13" s="480"/>
      <c r="E13" s="480"/>
      <c r="F13" s="480"/>
      <c r="G13" s="480"/>
      <c r="H13" s="480"/>
      <c r="I13" s="480"/>
      <c r="J13" s="480"/>
      <c r="K13" s="480"/>
      <c r="L13" s="480"/>
      <c r="M13" s="480"/>
      <c r="N13" s="480"/>
      <c r="O13" s="480"/>
      <c r="P13" s="480"/>
      <c r="Q13" s="480"/>
      <c r="R13" s="480"/>
      <c r="S13" s="480"/>
      <c r="T13" s="480"/>
      <c r="U13" s="480"/>
      <c r="V13" s="480"/>
      <c r="W13" s="480"/>
      <c r="X13" s="480"/>
      <c r="Y13" s="480"/>
      <c r="Z13" s="480"/>
      <c r="AA13" s="480"/>
      <c r="AB13" s="480"/>
      <c r="AC13" s="480"/>
      <c r="AD13" s="480"/>
      <c r="AE13" s="480"/>
      <c r="AF13" s="480"/>
      <c r="AG13" s="480"/>
      <c r="AH13" s="108">
        <f t="shared" si="2"/>
        <v>0</v>
      </c>
      <c r="AI13" s="62"/>
      <c r="AJ13" s="162" t="s">
        <v>166</v>
      </c>
      <c r="AK13" s="163" t="s">
        <v>167</v>
      </c>
      <c r="AM13" s="481"/>
    </row>
    <row r="14" spans="1:39" s="467" customFormat="1" x14ac:dyDescent="0.25">
      <c r="A14" s="162" t="s">
        <v>34</v>
      </c>
      <c r="B14" s="163" t="s">
        <v>227</v>
      </c>
      <c r="C14" s="479">
        <v>63</v>
      </c>
      <c r="D14" s="480">
        <v>22</v>
      </c>
      <c r="E14" s="480">
        <v>4</v>
      </c>
      <c r="F14" s="480">
        <v>14</v>
      </c>
      <c r="G14" s="480">
        <v>15</v>
      </c>
      <c r="H14" s="480">
        <v>24</v>
      </c>
      <c r="I14" s="480">
        <v>50</v>
      </c>
      <c r="J14" s="480"/>
      <c r="K14" s="480">
        <v>8</v>
      </c>
      <c r="L14" s="480">
        <v>4</v>
      </c>
      <c r="M14" s="480">
        <v>17</v>
      </c>
      <c r="N14" s="480">
        <v>29</v>
      </c>
      <c r="O14" s="480">
        <v>4</v>
      </c>
      <c r="P14" s="480">
        <v>4</v>
      </c>
      <c r="Q14" s="480">
        <v>62</v>
      </c>
      <c r="R14" s="480">
        <v>17</v>
      </c>
      <c r="S14" s="480">
        <v>8</v>
      </c>
      <c r="T14" s="480">
        <v>4</v>
      </c>
      <c r="U14" s="480"/>
      <c r="V14" s="480"/>
      <c r="W14" s="480">
        <v>57</v>
      </c>
      <c r="X14" s="480">
        <v>29</v>
      </c>
      <c r="Y14" s="480">
        <v>32</v>
      </c>
      <c r="Z14" s="480"/>
      <c r="AA14" s="480">
        <v>62</v>
      </c>
      <c r="AB14" s="480">
        <v>16</v>
      </c>
      <c r="AC14" s="480">
        <v>72</v>
      </c>
      <c r="AD14" s="480">
        <v>53</v>
      </c>
      <c r="AE14" s="480">
        <v>83</v>
      </c>
      <c r="AF14" s="480">
        <v>57</v>
      </c>
      <c r="AG14" s="480">
        <v>28</v>
      </c>
      <c r="AH14" s="108">
        <f t="shared" si="1"/>
        <v>838</v>
      </c>
      <c r="AI14" s="62"/>
      <c r="AJ14" s="162" t="s">
        <v>34</v>
      </c>
      <c r="AK14" s="163" t="s">
        <v>35</v>
      </c>
    </row>
    <row r="15" spans="1:39" s="467" customFormat="1" x14ac:dyDescent="0.25">
      <c r="A15" s="162" t="s">
        <v>36</v>
      </c>
      <c r="B15" s="163" t="s">
        <v>37</v>
      </c>
      <c r="C15" s="479">
        <v>60.11</v>
      </c>
      <c r="D15" s="480">
        <v>10.51</v>
      </c>
      <c r="E15" s="480">
        <v>245.26</v>
      </c>
      <c r="F15" s="480">
        <v>111.2</v>
      </c>
      <c r="G15" s="480">
        <v>92.22</v>
      </c>
      <c r="H15" s="480">
        <v>280.85000000000002</v>
      </c>
      <c r="I15" s="480">
        <v>49.36</v>
      </c>
      <c r="J15" s="480"/>
      <c r="K15" s="480">
        <v>118.85</v>
      </c>
      <c r="L15" s="480">
        <v>97.74</v>
      </c>
      <c r="M15" s="480">
        <v>65.81</v>
      </c>
      <c r="N15" s="480">
        <v>164.66</v>
      </c>
      <c r="O15" s="480">
        <v>262.88</v>
      </c>
      <c r="P15" s="480">
        <v>189.9</v>
      </c>
      <c r="Q15" s="480">
        <v>199.28</v>
      </c>
      <c r="R15" s="480">
        <v>64.680000000000007</v>
      </c>
      <c r="S15" s="480">
        <v>111.76</v>
      </c>
      <c r="T15" s="480">
        <v>112.98</v>
      </c>
      <c r="U15" s="480">
        <v>243.41</v>
      </c>
      <c r="V15" s="480">
        <v>309.48</v>
      </c>
      <c r="W15" s="480">
        <v>242.8</v>
      </c>
      <c r="X15" s="480">
        <v>196.25</v>
      </c>
      <c r="Y15" s="480">
        <v>344.37</v>
      </c>
      <c r="Z15" s="480">
        <v>376.83</v>
      </c>
      <c r="AA15" s="480">
        <v>407.17</v>
      </c>
      <c r="AB15" s="480">
        <v>399.56</v>
      </c>
      <c r="AC15" s="480">
        <v>1364.34</v>
      </c>
      <c r="AD15" s="480">
        <v>1670.6</v>
      </c>
      <c r="AE15" s="480">
        <v>979.29</v>
      </c>
      <c r="AF15" s="480">
        <v>461.92</v>
      </c>
      <c r="AG15" s="480">
        <v>361.49</v>
      </c>
      <c r="AH15" s="108">
        <f t="shared" si="1"/>
        <v>9595.5600000000013</v>
      </c>
      <c r="AI15" s="62"/>
      <c r="AJ15" s="162" t="s">
        <v>36</v>
      </c>
      <c r="AK15" s="163" t="s">
        <v>37</v>
      </c>
    </row>
    <row r="16" spans="1:39" s="467" customFormat="1" hidden="1" x14ac:dyDescent="0.25">
      <c r="A16" s="162" t="s">
        <v>194</v>
      </c>
      <c r="B16" s="163" t="s">
        <v>111</v>
      </c>
      <c r="C16" s="479"/>
      <c r="D16" s="480"/>
      <c r="E16" s="480"/>
      <c r="F16" s="480"/>
      <c r="G16" s="480"/>
      <c r="H16" s="480"/>
      <c r="I16" s="480"/>
      <c r="J16" s="480"/>
      <c r="K16" s="480"/>
      <c r="L16" s="480"/>
      <c r="M16" s="480"/>
      <c r="N16" s="480"/>
      <c r="O16" s="480"/>
      <c r="P16" s="480"/>
      <c r="Q16" s="480"/>
      <c r="R16" s="480"/>
      <c r="S16" s="480"/>
      <c r="T16" s="480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7" customFormat="1" x14ac:dyDescent="0.25">
      <c r="A17" s="162" t="s">
        <v>36</v>
      </c>
      <c r="B17" s="163" t="s">
        <v>225</v>
      </c>
      <c r="C17" s="479">
        <v>11.73</v>
      </c>
      <c r="D17" s="480">
        <v>13.11</v>
      </c>
      <c r="E17" s="480">
        <v>7.82</v>
      </c>
      <c r="F17" s="480">
        <v>13.8</v>
      </c>
      <c r="G17" s="480">
        <v>18.86</v>
      </c>
      <c r="H17" s="480">
        <v>7.36</v>
      </c>
      <c r="I17" s="480">
        <v>9.89</v>
      </c>
      <c r="J17" s="480"/>
      <c r="K17" s="480">
        <v>16.329999999999998</v>
      </c>
      <c r="L17" s="480">
        <v>9.1999999999999993</v>
      </c>
      <c r="M17" s="480">
        <v>15.41</v>
      </c>
      <c r="N17" s="480">
        <v>11.5</v>
      </c>
      <c r="O17" s="480">
        <v>11.27</v>
      </c>
      <c r="P17" s="480">
        <v>1.84</v>
      </c>
      <c r="Q17" s="480">
        <v>5.75</v>
      </c>
      <c r="R17" s="480">
        <v>15.64</v>
      </c>
      <c r="S17" s="480">
        <v>16.559999999999999</v>
      </c>
      <c r="T17" s="480">
        <v>18.399999999999999</v>
      </c>
      <c r="U17" s="480">
        <v>9.41</v>
      </c>
      <c r="V17" s="480">
        <v>9.85</v>
      </c>
      <c r="W17" s="480">
        <v>25.2</v>
      </c>
      <c r="X17" s="480">
        <v>19.7</v>
      </c>
      <c r="Y17" s="480">
        <v>11.7</v>
      </c>
      <c r="Z17" s="480">
        <v>10.1</v>
      </c>
      <c r="AA17" s="480">
        <v>2.2999999999999998</v>
      </c>
      <c r="AB17" s="480"/>
      <c r="AC17" s="480"/>
      <c r="AD17" s="480"/>
      <c r="AE17" s="480"/>
      <c r="AF17" s="480"/>
      <c r="AG17" s="480"/>
      <c r="AH17" s="108">
        <f t="shared" si="1"/>
        <v>292.73</v>
      </c>
      <c r="AI17" s="62"/>
      <c r="AJ17" s="162" t="s">
        <v>36</v>
      </c>
      <c r="AK17" s="163" t="s">
        <v>225</v>
      </c>
    </row>
    <row r="18" spans="1:39" s="467" customFormat="1" x14ac:dyDescent="0.25">
      <c r="A18" s="162" t="s">
        <v>77</v>
      </c>
      <c r="B18" s="163" t="s">
        <v>193</v>
      </c>
      <c r="C18" s="479">
        <v>260</v>
      </c>
      <c r="D18" s="480">
        <v>561</v>
      </c>
      <c r="E18" s="480">
        <v>150</v>
      </c>
      <c r="F18" s="480"/>
      <c r="G18" s="480">
        <v>418</v>
      </c>
      <c r="H18" s="480"/>
      <c r="I18" s="480"/>
      <c r="J18" s="480">
        <v>112</v>
      </c>
      <c r="K18" s="480"/>
      <c r="L18" s="480">
        <v>246.5</v>
      </c>
      <c r="M18" s="480">
        <v>47.5</v>
      </c>
      <c r="N18" s="480">
        <v>70</v>
      </c>
      <c r="O18" s="480"/>
      <c r="P18" s="480"/>
      <c r="Q18" s="480">
        <v>120</v>
      </c>
      <c r="R18" s="480">
        <v>87.5</v>
      </c>
      <c r="S18" s="480">
        <v>340</v>
      </c>
      <c r="T18" s="480">
        <v>348</v>
      </c>
      <c r="U18" s="480">
        <v>422</v>
      </c>
      <c r="V18" s="480"/>
      <c r="W18" s="480"/>
      <c r="X18" s="480">
        <v>165</v>
      </c>
      <c r="Y18" s="480">
        <v>648</v>
      </c>
      <c r="Z18" s="480">
        <v>368</v>
      </c>
      <c r="AA18" s="480"/>
      <c r="AB18" s="480">
        <v>72</v>
      </c>
      <c r="AC18" s="480">
        <v>1000</v>
      </c>
      <c r="AD18" s="480">
        <v>282</v>
      </c>
      <c r="AE18" s="480">
        <v>428</v>
      </c>
      <c r="AF18" s="480">
        <v>472.5</v>
      </c>
      <c r="AG18" s="480"/>
      <c r="AH18" s="108">
        <f t="shared" si="1"/>
        <v>6618</v>
      </c>
      <c r="AI18" s="62"/>
      <c r="AJ18" s="162" t="s">
        <v>77</v>
      </c>
      <c r="AK18" s="163" t="s">
        <v>78</v>
      </c>
      <c r="AL18" s="481"/>
    </row>
    <row r="19" spans="1:39" s="467" customFormat="1" hidden="1" x14ac:dyDescent="0.25">
      <c r="A19" s="162" t="s">
        <v>38</v>
      </c>
      <c r="B19" s="163" t="s">
        <v>39</v>
      </c>
      <c r="C19" s="479"/>
      <c r="D19" s="480"/>
      <c r="E19" s="480"/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  <c r="AA19" s="480"/>
      <c r="AB19" s="480"/>
      <c r="AC19" s="480"/>
      <c r="AD19" s="480"/>
      <c r="AE19" s="480"/>
      <c r="AF19" s="480"/>
      <c r="AG19" s="480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7" customFormat="1" x14ac:dyDescent="0.25">
      <c r="A20" s="162" t="s">
        <v>40</v>
      </c>
      <c r="B20" s="163" t="s">
        <v>228</v>
      </c>
      <c r="C20" s="479"/>
      <c r="D20" s="480"/>
      <c r="E20" s="480"/>
      <c r="F20" s="480">
        <v>90</v>
      </c>
      <c r="G20" s="480">
        <v>180</v>
      </c>
      <c r="H20" s="480"/>
      <c r="I20" s="480"/>
      <c r="J20" s="480"/>
      <c r="K20" s="480"/>
      <c r="L20" s="480"/>
      <c r="M20" s="480"/>
      <c r="N20" s="480">
        <v>90</v>
      </c>
      <c r="O20" s="480"/>
      <c r="P20" s="480"/>
      <c r="Q20" s="480"/>
      <c r="R20" s="480"/>
      <c r="S20" s="480"/>
      <c r="T20" s="480"/>
      <c r="U20" s="480"/>
      <c r="V20" s="480"/>
      <c r="W20" s="480"/>
      <c r="X20" s="480"/>
      <c r="Y20" s="480"/>
      <c r="Z20" s="480"/>
      <c r="AA20" s="480"/>
      <c r="AB20" s="480"/>
      <c r="AC20" s="480"/>
      <c r="AD20" s="480"/>
      <c r="AE20" s="480"/>
      <c r="AF20" s="480"/>
      <c r="AG20" s="480"/>
      <c r="AH20" s="108">
        <f>SUM(C20:AG20)</f>
        <v>360</v>
      </c>
      <c r="AI20" s="62"/>
      <c r="AJ20" s="162" t="s">
        <v>40</v>
      </c>
      <c r="AK20" s="163" t="s">
        <v>41</v>
      </c>
    </row>
    <row r="21" spans="1:39" s="467" customFormat="1" x14ac:dyDescent="0.25">
      <c r="A21" s="162" t="s">
        <v>161</v>
      </c>
      <c r="B21" s="163" t="s">
        <v>162</v>
      </c>
      <c r="C21" s="479"/>
      <c r="D21" s="480"/>
      <c r="E21" s="480"/>
      <c r="F21" s="480">
        <v>135</v>
      </c>
      <c r="G21" s="480">
        <v>45</v>
      </c>
      <c r="H21" s="480">
        <v>45</v>
      </c>
      <c r="I21" s="480">
        <v>45</v>
      </c>
      <c r="J21" s="480">
        <v>45</v>
      </c>
      <c r="K21" s="480"/>
      <c r="L21" s="480"/>
      <c r="M21" s="480">
        <v>45</v>
      </c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  <c r="AA21" s="480"/>
      <c r="AB21" s="480"/>
      <c r="AC21" s="480"/>
      <c r="AD21" s="480"/>
      <c r="AE21" s="480"/>
      <c r="AF21" s="480">
        <v>90</v>
      </c>
      <c r="AG21" s="480"/>
      <c r="AH21" s="108">
        <f t="shared" si="1"/>
        <v>450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>
        <v>52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>
        <v>150</v>
      </c>
      <c r="W28" s="80"/>
      <c r="X28" s="80"/>
      <c r="Y28" s="80"/>
      <c r="Z28" s="80">
        <v>52</v>
      </c>
      <c r="AA28" s="80"/>
      <c r="AB28" s="80"/>
      <c r="AC28" s="80"/>
      <c r="AD28" s="80"/>
      <c r="AE28" s="80">
        <v>52</v>
      </c>
      <c r="AF28" s="80"/>
      <c r="AG28" s="80"/>
      <c r="AH28" s="108">
        <f t="shared" si="1"/>
        <v>306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2658.03</v>
      </c>
      <c r="D29" s="107">
        <f t="shared" si="3"/>
        <v>1077.47</v>
      </c>
      <c r="E29" s="107">
        <f t="shared" si="3"/>
        <v>2511.4100000000003</v>
      </c>
      <c r="F29" s="107">
        <f t="shared" si="3"/>
        <v>3213.63</v>
      </c>
      <c r="G29" s="107">
        <f t="shared" si="3"/>
        <v>3797.21</v>
      </c>
      <c r="H29" s="107">
        <f t="shared" si="3"/>
        <v>6690.0300000000007</v>
      </c>
      <c r="I29" s="107">
        <f t="shared" si="3"/>
        <v>3402.1</v>
      </c>
      <c r="J29" s="107">
        <f t="shared" si="3"/>
        <v>590</v>
      </c>
      <c r="K29" s="107">
        <f t="shared" si="3"/>
        <v>1597.9799999999998</v>
      </c>
      <c r="L29" s="107">
        <f t="shared" si="3"/>
        <v>3773.0999999999995</v>
      </c>
      <c r="M29" s="107">
        <f t="shared" si="3"/>
        <v>2444.7099999999996</v>
      </c>
      <c r="N29" s="107">
        <f t="shared" si="3"/>
        <v>3955.21</v>
      </c>
      <c r="O29" s="107">
        <f t="shared" si="3"/>
        <v>7040.49</v>
      </c>
      <c r="P29" s="107">
        <f t="shared" si="3"/>
        <v>7331.8899999999994</v>
      </c>
      <c r="Q29" s="107">
        <f t="shared" si="3"/>
        <v>4491.83</v>
      </c>
      <c r="R29" s="107">
        <f t="shared" si="3"/>
        <v>3828.5599999999995</v>
      </c>
      <c r="S29" s="107">
        <f t="shared" si="3"/>
        <v>3709.3</v>
      </c>
      <c r="T29" s="107">
        <f t="shared" si="3"/>
        <v>3342.84</v>
      </c>
      <c r="U29" s="107">
        <f t="shared" si="3"/>
        <v>6439.69</v>
      </c>
      <c r="V29" s="107">
        <f t="shared" si="3"/>
        <v>8081.91</v>
      </c>
      <c r="W29" s="107">
        <f t="shared" si="3"/>
        <v>6431.2</v>
      </c>
      <c r="X29" s="107">
        <f t="shared" si="3"/>
        <v>4815.71</v>
      </c>
      <c r="Y29" s="107">
        <f t="shared" si="3"/>
        <v>4526.41</v>
      </c>
      <c r="Z29" s="107">
        <f t="shared" si="3"/>
        <v>6208.1100000000006</v>
      </c>
      <c r="AA29" s="107">
        <f t="shared" si="3"/>
        <v>6214.57</v>
      </c>
      <c r="AB29" s="107">
        <f t="shared" si="3"/>
        <v>8732.6099999999988</v>
      </c>
      <c r="AC29" s="107">
        <f t="shared" si="3"/>
        <v>22849.32</v>
      </c>
      <c r="AD29" s="107">
        <f t="shared" si="3"/>
        <v>27891.51</v>
      </c>
      <c r="AE29" s="107">
        <f t="shared" si="3"/>
        <v>16935.79</v>
      </c>
      <c r="AF29" s="107">
        <f t="shared" si="3"/>
        <v>11836.63</v>
      </c>
      <c r="AG29" s="107">
        <f t="shared" si="3"/>
        <v>12134.28</v>
      </c>
      <c r="AH29" s="109">
        <f>SUM(C3:AG28)</f>
        <v>208553.53000000003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2658.03</v>
      </c>
      <c r="D30" s="72">
        <v>1077.47</v>
      </c>
      <c r="E30" s="72">
        <v>2511.41</v>
      </c>
      <c r="F30" s="72">
        <v>3318.63</v>
      </c>
      <c r="G30" s="72">
        <v>3797.21</v>
      </c>
      <c r="H30" s="72">
        <v>6690.03</v>
      </c>
      <c r="I30" s="72">
        <v>3402.1</v>
      </c>
      <c r="J30" s="72">
        <v>590</v>
      </c>
      <c r="K30" s="72">
        <v>1597.98</v>
      </c>
      <c r="L30" s="72">
        <v>3773.1</v>
      </c>
      <c r="M30" s="72">
        <v>2444.71</v>
      </c>
      <c r="N30" s="72">
        <v>3955.21</v>
      </c>
      <c r="O30" s="72">
        <v>7040.49</v>
      </c>
      <c r="P30" s="72">
        <v>7331.89</v>
      </c>
      <c r="Q30" s="72">
        <v>4491.83</v>
      </c>
      <c r="R30" s="72">
        <v>3828.56</v>
      </c>
      <c r="S30" s="72">
        <v>3679.3</v>
      </c>
      <c r="T30" s="72">
        <v>3342.84</v>
      </c>
      <c r="U30" s="72">
        <v>6439.69</v>
      </c>
      <c r="V30" s="72">
        <v>8081.91</v>
      </c>
      <c r="W30" s="72">
        <v>6536.2</v>
      </c>
      <c r="X30" s="72">
        <v>4815.71</v>
      </c>
      <c r="Y30" s="72">
        <v>4526.41</v>
      </c>
      <c r="Z30" s="72">
        <v>6208.11</v>
      </c>
      <c r="AA30" s="72">
        <v>6214.57</v>
      </c>
      <c r="AB30" s="72">
        <v>8732.61</v>
      </c>
      <c r="AC30" s="72">
        <v>22849.32</v>
      </c>
      <c r="AD30" s="72">
        <v>27891.51</v>
      </c>
      <c r="AE30" s="72">
        <v>16935.79</v>
      </c>
      <c r="AF30" s="72">
        <v>11836.63</v>
      </c>
      <c r="AG30" s="72">
        <v>12134.28</v>
      </c>
      <c r="AH30" s="191">
        <f>SUM(C30:AG30)</f>
        <v>208733.53000000003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-105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30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-105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-180</v>
      </c>
      <c r="AI31" s="85"/>
      <c r="AJ31" s="509" t="s">
        <v>127</v>
      </c>
      <c r="AK31" s="510"/>
      <c r="AL31" s="510"/>
      <c r="AM31" s="511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607.80999999999995</v>
      </c>
      <c r="D33" s="392">
        <v>375.5</v>
      </c>
      <c r="E33" s="392">
        <v>545.07000000000005</v>
      </c>
      <c r="F33" s="392">
        <v>280.55</v>
      </c>
      <c r="G33" s="392">
        <v>604.29999999999995</v>
      </c>
      <c r="H33" s="392">
        <v>1235.72</v>
      </c>
      <c r="I33" s="392">
        <v>601.78</v>
      </c>
      <c r="J33" s="392"/>
      <c r="K33" s="392">
        <v>423.36</v>
      </c>
      <c r="L33" s="392">
        <v>240.36</v>
      </c>
      <c r="M33" s="392">
        <v>315.33999999999997</v>
      </c>
      <c r="N33" s="392">
        <v>721.54</v>
      </c>
      <c r="O33" s="392">
        <v>969.17</v>
      </c>
      <c r="P33" s="392">
        <v>1299.53</v>
      </c>
      <c r="Q33" s="392">
        <v>653.55999999999995</v>
      </c>
      <c r="R33" s="392">
        <v>496.07</v>
      </c>
      <c r="S33" s="392">
        <v>655.01</v>
      </c>
      <c r="T33" s="392">
        <v>292.13</v>
      </c>
      <c r="U33" s="392">
        <v>655.75</v>
      </c>
      <c r="V33" s="392">
        <v>920.68</v>
      </c>
      <c r="W33" s="392">
        <v>974.08</v>
      </c>
      <c r="X33" s="392">
        <v>697.67</v>
      </c>
      <c r="Y33" s="392">
        <v>1586.97</v>
      </c>
      <c r="Z33" s="392">
        <v>967.63</v>
      </c>
      <c r="AA33" s="392">
        <v>1154.03</v>
      </c>
      <c r="AB33" s="392">
        <v>1152.1300000000001</v>
      </c>
      <c r="AC33" s="392">
        <v>3186.34</v>
      </c>
      <c r="AD33" s="392">
        <v>3562.66</v>
      </c>
      <c r="AE33" s="392">
        <v>2579.98</v>
      </c>
      <c r="AF33" s="393">
        <v>654.48</v>
      </c>
      <c r="AG33" s="393">
        <v>1478.71</v>
      </c>
      <c r="AH33" s="110">
        <f>SUM(C33:AG33)</f>
        <v>29887.909999999996</v>
      </c>
      <c r="AJ33" s="137" t="s">
        <v>60</v>
      </c>
      <c r="AK33" s="138" t="s">
        <v>122</v>
      </c>
      <c r="AL33" s="386">
        <f>SUM(C33:AE33)</f>
        <v>27754.719999999998</v>
      </c>
      <c r="AM33" s="387">
        <f>SUM(AF33:AG33)</f>
        <v>2133.19</v>
      </c>
    </row>
    <row r="34" spans="1:40" x14ac:dyDescent="0.25">
      <c r="A34" s="90" t="s">
        <v>60</v>
      </c>
      <c r="B34" s="91" t="s">
        <v>55</v>
      </c>
      <c r="C34" s="483">
        <v>2050.73</v>
      </c>
      <c r="D34" s="483">
        <v>701.97</v>
      </c>
      <c r="E34" s="483">
        <v>1806.1</v>
      </c>
      <c r="F34" s="483">
        <v>2923.08</v>
      </c>
      <c r="G34" s="483">
        <v>3087.99</v>
      </c>
      <c r="H34" s="483">
        <v>5454.4</v>
      </c>
      <c r="I34" s="483">
        <v>2801.76</v>
      </c>
      <c r="J34" s="483">
        <v>590</v>
      </c>
      <c r="K34" s="483">
        <v>1174.6199999999999</v>
      </c>
      <c r="L34" s="483">
        <v>3480.74</v>
      </c>
      <c r="M34" s="483">
        <v>2129.37</v>
      </c>
      <c r="N34" s="483">
        <v>3205.63</v>
      </c>
      <c r="O34" s="483">
        <v>6076.32</v>
      </c>
      <c r="P34" s="483">
        <v>5989.85</v>
      </c>
      <c r="Q34" s="483">
        <v>3838.31</v>
      </c>
      <c r="R34" s="483">
        <v>3332.48</v>
      </c>
      <c r="S34" s="483">
        <v>3047.72</v>
      </c>
      <c r="T34" s="483">
        <v>2961.36</v>
      </c>
      <c r="U34" s="483">
        <v>5745.64</v>
      </c>
      <c r="V34" s="483">
        <f>7127.53-70</f>
        <v>7057.53</v>
      </c>
      <c r="W34" s="483">
        <v>5457.55</v>
      </c>
      <c r="X34" s="483">
        <v>4121.12</v>
      </c>
      <c r="Y34" s="483">
        <v>2935.63</v>
      </c>
      <c r="Z34" s="483">
        <v>5238.58</v>
      </c>
      <c r="AA34" s="483">
        <v>5060.5</v>
      </c>
      <c r="AB34" s="483">
        <v>7581.37</v>
      </c>
      <c r="AC34" s="489">
        <f>19642.02+140</f>
        <v>19782.02</v>
      </c>
      <c r="AD34" s="489">
        <v>24340.35</v>
      </c>
      <c r="AE34" s="489">
        <v>14256.13</v>
      </c>
      <c r="AF34" s="489">
        <v>11181.69</v>
      </c>
      <c r="AG34" s="489">
        <v>10663.21</v>
      </c>
      <c r="AH34" s="111">
        <f t="shared" ref="AH34:AH38" si="5">SUM(C34:AG34)</f>
        <v>178073.75</v>
      </c>
      <c r="AJ34" s="129" t="s">
        <v>60</v>
      </c>
      <c r="AK34" s="130" t="s">
        <v>198</v>
      </c>
      <c r="AL34" s="290">
        <f>SUM(C34:AB34)-AL45</f>
        <v>94882.810000000012</v>
      </c>
      <c r="AM34" s="291">
        <f>SUM(AC34:AG34)-AM45</f>
        <v>77813.64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 t="s">
        <v>235</v>
      </c>
      <c r="T35" s="380"/>
      <c r="U35" s="380"/>
      <c r="V35" s="380"/>
      <c r="W35" s="380" t="s">
        <v>235</v>
      </c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>
        <v>160.24</v>
      </c>
      <c r="F37" s="380"/>
      <c r="G37" s="380">
        <v>104</v>
      </c>
      <c r="H37" s="380"/>
      <c r="I37" s="380"/>
      <c r="J37" s="380"/>
      <c r="K37" s="380"/>
      <c r="L37" s="380"/>
      <c r="M37" s="380"/>
      <c r="N37" s="380">
        <v>28.04</v>
      </c>
      <c r="O37" s="380"/>
      <c r="P37" s="380"/>
      <c r="Q37" s="380"/>
      <c r="R37" s="380"/>
      <c r="S37" s="380"/>
      <c r="T37" s="380">
        <v>104</v>
      </c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396.28000000000003</v>
      </c>
      <c r="AJ37" s="129" t="s">
        <v>67</v>
      </c>
      <c r="AK37" s="130" t="s">
        <v>91</v>
      </c>
      <c r="AL37" s="269">
        <f>AH37</f>
        <v>396.28000000000003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>
        <v>52</v>
      </c>
      <c r="M38" s="382"/>
      <c r="N38" s="382"/>
      <c r="O38" s="382"/>
      <c r="P38" s="382">
        <v>42</v>
      </c>
      <c r="Q38" s="382"/>
      <c r="R38" s="382"/>
      <c r="S38" s="382"/>
      <c r="T38" s="382"/>
      <c r="U38" s="382">
        <v>58</v>
      </c>
      <c r="V38" s="382">
        <v>32.799999999999997</v>
      </c>
      <c r="W38" s="382"/>
      <c r="X38" s="382"/>
      <c r="Y38" s="382"/>
      <c r="Z38" s="382"/>
      <c r="AA38" s="382"/>
      <c r="AB38" s="382"/>
      <c r="AC38" s="382"/>
      <c r="AD38" s="382"/>
      <c r="AE38" s="382">
        <v>100</v>
      </c>
      <c r="AF38" s="382"/>
      <c r="AG38" s="382"/>
      <c r="AH38" s="112">
        <f t="shared" si="5"/>
        <v>284.8</v>
      </c>
      <c r="AJ38" s="129" t="s">
        <v>109</v>
      </c>
      <c r="AK38" s="130" t="s">
        <v>156</v>
      </c>
      <c r="AL38" s="269">
        <f>AH38</f>
        <v>284.8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2658.54</v>
      </c>
      <c r="D39" s="107">
        <f t="shared" si="6"/>
        <v>1077.47</v>
      </c>
      <c r="E39" s="107">
        <f t="shared" si="6"/>
        <v>2511.41</v>
      </c>
      <c r="F39" s="107">
        <f t="shared" si="6"/>
        <v>3203.63</v>
      </c>
      <c r="G39" s="107">
        <f t="shared" si="6"/>
        <v>3796.29</v>
      </c>
      <c r="H39" s="107">
        <f t="shared" si="6"/>
        <v>6690.12</v>
      </c>
      <c r="I39" s="107">
        <f t="shared" si="6"/>
        <v>3403.54</v>
      </c>
      <c r="J39" s="107">
        <f t="shared" si="6"/>
        <v>590</v>
      </c>
      <c r="K39" s="107">
        <f t="shared" si="6"/>
        <v>1597.98</v>
      </c>
      <c r="L39" s="107">
        <f t="shared" si="6"/>
        <v>3773.1</v>
      </c>
      <c r="M39" s="107">
        <f t="shared" si="6"/>
        <v>2444.71</v>
      </c>
      <c r="N39" s="107">
        <f t="shared" si="6"/>
        <v>3955.21</v>
      </c>
      <c r="O39" s="107">
        <f t="shared" si="6"/>
        <v>7045.49</v>
      </c>
      <c r="P39" s="107">
        <f t="shared" si="6"/>
        <v>7331.38</v>
      </c>
      <c r="Q39" s="107">
        <f t="shared" si="6"/>
        <v>4491.87</v>
      </c>
      <c r="R39" s="107">
        <f t="shared" si="6"/>
        <v>3828.55</v>
      </c>
      <c r="S39" s="107">
        <f t="shared" si="6"/>
        <v>3702.7299999999996</v>
      </c>
      <c r="T39" s="107">
        <f t="shared" si="6"/>
        <v>3357.4900000000002</v>
      </c>
      <c r="U39" s="107">
        <f t="shared" si="6"/>
        <v>6459.39</v>
      </c>
      <c r="V39" s="107">
        <f t="shared" si="6"/>
        <v>8011.01</v>
      </c>
      <c r="W39" s="107">
        <f t="shared" si="6"/>
        <v>6431.63</v>
      </c>
      <c r="X39" s="107">
        <f t="shared" si="6"/>
        <v>4818.79</v>
      </c>
      <c r="Y39" s="107">
        <f t="shared" si="6"/>
        <v>4522.6000000000004</v>
      </c>
      <c r="Z39" s="107">
        <f t="shared" si="6"/>
        <v>6206.21</v>
      </c>
      <c r="AA39" s="107">
        <f t="shared" si="6"/>
        <v>6214.53</v>
      </c>
      <c r="AB39" s="107">
        <f t="shared" si="6"/>
        <v>8733.5</v>
      </c>
      <c r="AC39" s="107">
        <f t="shared" si="6"/>
        <v>22968.36</v>
      </c>
      <c r="AD39" s="107">
        <f t="shared" si="6"/>
        <v>27903.01</v>
      </c>
      <c r="AE39" s="107">
        <f t="shared" si="6"/>
        <v>16936.11</v>
      </c>
      <c r="AF39" s="107">
        <f t="shared" si="6"/>
        <v>11836.17</v>
      </c>
      <c r="AG39" s="107">
        <f t="shared" si="6"/>
        <v>12141.919999999998</v>
      </c>
      <c r="AH39" s="110">
        <f>SUM(C39:AG39)</f>
        <v>208642.74000000005</v>
      </c>
      <c r="AI39" s="59"/>
      <c r="AJ39" s="505" t="s">
        <v>76</v>
      </c>
      <c r="AK39" s="506"/>
      <c r="AL39" s="507">
        <f>SUM(AL33:AM38)</f>
        <v>203265.43999999997</v>
      </c>
      <c r="AM39" s="508"/>
      <c r="AN39" s="273">
        <f>AL39-AH39+AL45+AM45+AL43</f>
        <v>-89.210000000076889</v>
      </c>
    </row>
    <row r="40" spans="1:40" x14ac:dyDescent="0.25">
      <c r="A40" s="203"/>
      <c r="B40" s="194" t="s">
        <v>104</v>
      </c>
      <c r="C40" s="72">
        <f>C30</f>
        <v>2658.03</v>
      </c>
      <c r="D40" s="72">
        <f t="shared" ref="D40:AG40" si="7">D30</f>
        <v>1077.47</v>
      </c>
      <c r="E40" s="72">
        <f t="shared" si="7"/>
        <v>2511.41</v>
      </c>
      <c r="F40" s="72">
        <f t="shared" si="7"/>
        <v>3318.63</v>
      </c>
      <c r="G40" s="72">
        <f t="shared" si="7"/>
        <v>3797.21</v>
      </c>
      <c r="H40" s="72">
        <f t="shared" si="7"/>
        <v>6690.03</v>
      </c>
      <c r="I40" s="72">
        <f t="shared" si="7"/>
        <v>3402.1</v>
      </c>
      <c r="J40" s="72">
        <f t="shared" si="7"/>
        <v>590</v>
      </c>
      <c r="K40" s="72">
        <f t="shared" si="7"/>
        <v>1597.98</v>
      </c>
      <c r="L40" s="72">
        <f t="shared" si="7"/>
        <v>3773.1</v>
      </c>
      <c r="M40" s="72">
        <f t="shared" si="7"/>
        <v>2444.71</v>
      </c>
      <c r="N40" s="72">
        <f t="shared" si="7"/>
        <v>3955.21</v>
      </c>
      <c r="O40" s="72">
        <f t="shared" si="7"/>
        <v>7040.49</v>
      </c>
      <c r="P40" s="72">
        <f t="shared" si="7"/>
        <v>7331.89</v>
      </c>
      <c r="Q40" s="72">
        <f t="shared" si="7"/>
        <v>4491.83</v>
      </c>
      <c r="R40" s="72">
        <f t="shared" si="7"/>
        <v>3828.56</v>
      </c>
      <c r="S40" s="72">
        <f t="shared" si="7"/>
        <v>3679.3</v>
      </c>
      <c r="T40" s="72">
        <f t="shared" si="7"/>
        <v>3342.84</v>
      </c>
      <c r="U40" s="72">
        <f t="shared" si="7"/>
        <v>6439.69</v>
      </c>
      <c r="V40" s="72">
        <f t="shared" si="7"/>
        <v>8081.91</v>
      </c>
      <c r="W40" s="72">
        <f t="shared" si="7"/>
        <v>6536.2</v>
      </c>
      <c r="X40" s="72">
        <f t="shared" si="7"/>
        <v>4815.71</v>
      </c>
      <c r="Y40" s="72">
        <f t="shared" si="7"/>
        <v>4526.41</v>
      </c>
      <c r="Z40" s="72">
        <f t="shared" si="7"/>
        <v>6208.11</v>
      </c>
      <c r="AA40" s="72">
        <f t="shared" si="7"/>
        <v>6214.57</v>
      </c>
      <c r="AB40" s="72">
        <f t="shared" si="7"/>
        <v>8732.61</v>
      </c>
      <c r="AC40" s="72">
        <f t="shared" si="7"/>
        <v>22849.32</v>
      </c>
      <c r="AD40" s="72">
        <f t="shared" si="7"/>
        <v>27891.51</v>
      </c>
      <c r="AE40" s="72">
        <f t="shared" si="7"/>
        <v>16935.79</v>
      </c>
      <c r="AF40" s="72">
        <f t="shared" si="7"/>
        <v>11836.63</v>
      </c>
      <c r="AG40" s="72">
        <f t="shared" si="7"/>
        <v>12134.28</v>
      </c>
      <c r="AH40" s="111">
        <f t="shared" ref="AH40:AH41" si="8">SUM(C40:AG40)</f>
        <v>208733.53000000003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0.50999999999976353</v>
      </c>
      <c r="D41" s="133">
        <f>D39-D40</f>
        <v>0</v>
      </c>
      <c r="E41" s="133">
        <f>E39-E40</f>
        <v>0</v>
      </c>
      <c r="F41" s="133">
        <f t="shared" ref="F41:AG41" si="9">F39-F40</f>
        <v>-115</v>
      </c>
      <c r="G41" s="133">
        <f t="shared" si="9"/>
        <v>-0.92000000000007276</v>
      </c>
      <c r="H41" s="133">
        <f t="shared" si="9"/>
        <v>9.0000000000145519E-2</v>
      </c>
      <c r="I41" s="133">
        <f t="shared" si="9"/>
        <v>1.4400000000000546</v>
      </c>
      <c r="J41" s="133">
        <f t="shared" si="9"/>
        <v>0</v>
      </c>
      <c r="K41" s="133">
        <f t="shared" si="9"/>
        <v>0</v>
      </c>
      <c r="L41" s="133">
        <f t="shared" si="9"/>
        <v>0</v>
      </c>
      <c r="M41" s="133">
        <f t="shared" si="9"/>
        <v>0</v>
      </c>
      <c r="N41" s="133">
        <f t="shared" si="9"/>
        <v>0</v>
      </c>
      <c r="O41" s="133">
        <f t="shared" si="9"/>
        <v>5</v>
      </c>
      <c r="P41" s="133">
        <f t="shared" si="9"/>
        <v>-0.51000000000021828</v>
      </c>
      <c r="Q41" s="133">
        <f t="shared" si="9"/>
        <v>3.999999999996362E-2</v>
      </c>
      <c r="R41" s="133">
        <f t="shared" si="9"/>
        <v>-9.9999999997635314E-3</v>
      </c>
      <c r="S41" s="133">
        <f t="shared" si="9"/>
        <v>23.429999999999382</v>
      </c>
      <c r="T41" s="133">
        <f t="shared" si="9"/>
        <v>14.650000000000091</v>
      </c>
      <c r="U41" s="133">
        <f t="shared" si="9"/>
        <v>19.700000000000728</v>
      </c>
      <c r="V41" s="133">
        <f t="shared" si="9"/>
        <v>-70.899999999999636</v>
      </c>
      <c r="W41" s="133">
        <f t="shared" si="9"/>
        <v>-104.56999999999971</v>
      </c>
      <c r="X41" s="133">
        <f t="shared" si="9"/>
        <v>3.0799999999999272</v>
      </c>
      <c r="Y41" s="133">
        <f t="shared" si="9"/>
        <v>-3.8099999999994907</v>
      </c>
      <c r="Z41" s="133">
        <f t="shared" si="9"/>
        <v>-1.8999999999996362</v>
      </c>
      <c r="AA41" s="133">
        <f t="shared" si="9"/>
        <v>-3.999999999996362E-2</v>
      </c>
      <c r="AB41" s="133">
        <f t="shared" si="9"/>
        <v>0.88999999999941792</v>
      </c>
      <c r="AC41" s="133">
        <f t="shared" si="9"/>
        <v>119.04000000000087</v>
      </c>
      <c r="AD41" s="133">
        <f t="shared" si="9"/>
        <v>11.5</v>
      </c>
      <c r="AE41" s="133">
        <f t="shared" si="9"/>
        <v>0.31999999999970896</v>
      </c>
      <c r="AF41" s="133">
        <f t="shared" si="9"/>
        <v>-0.45999999999912689</v>
      </c>
      <c r="AG41" s="133">
        <f t="shared" si="9"/>
        <v>7.6399999999975989</v>
      </c>
      <c r="AH41" s="112">
        <f t="shared" si="8"/>
        <v>-90.789999999999964</v>
      </c>
      <c r="AJ41" s="377">
        <f>AH39-AH40</f>
        <v>-90.789999999979045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-0.50999999999976353</v>
      </c>
      <c r="D43" s="114">
        <f t="shared" si="10"/>
        <v>0</v>
      </c>
      <c r="E43" s="114">
        <f t="shared" si="10"/>
        <v>0</v>
      </c>
      <c r="F43" s="114">
        <f t="shared" si="10"/>
        <v>10</v>
      </c>
      <c r="G43" s="114">
        <f t="shared" si="10"/>
        <v>0.92000000000007276</v>
      </c>
      <c r="H43" s="114">
        <f t="shared" si="10"/>
        <v>-8.9999999999236024E-2</v>
      </c>
      <c r="I43" s="114">
        <f t="shared" si="10"/>
        <v>-1.4400000000000546</v>
      </c>
      <c r="J43" s="114">
        <f t="shared" si="10"/>
        <v>0</v>
      </c>
      <c r="K43" s="114">
        <f t="shared" si="10"/>
        <v>0</v>
      </c>
      <c r="L43" s="114">
        <f t="shared" si="10"/>
        <v>0</v>
      </c>
      <c r="M43" s="114">
        <f t="shared" si="10"/>
        <v>0</v>
      </c>
      <c r="N43" s="114">
        <f t="shared" si="10"/>
        <v>0</v>
      </c>
      <c r="O43" s="114">
        <f t="shared" si="10"/>
        <v>-5</v>
      </c>
      <c r="P43" s="114">
        <f t="shared" si="10"/>
        <v>0.50999999999930878</v>
      </c>
      <c r="Q43" s="114">
        <f t="shared" si="10"/>
        <v>-3.999999999996362E-2</v>
      </c>
      <c r="R43" s="114">
        <f t="shared" si="10"/>
        <v>9.999999999308784E-3</v>
      </c>
      <c r="S43" s="114">
        <f t="shared" si="10"/>
        <v>6.5700000000006185</v>
      </c>
      <c r="T43" s="114">
        <f t="shared" si="10"/>
        <v>-14.650000000000091</v>
      </c>
      <c r="U43" s="114">
        <f t="shared" si="10"/>
        <v>-19.700000000000728</v>
      </c>
      <c r="V43" s="114">
        <f t="shared" si="10"/>
        <v>70.899999999999636</v>
      </c>
      <c r="W43" s="114">
        <f t="shared" si="10"/>
        <v>-0.43000000000029104</v>
      </c>
      <c r="X43" s="114">
        <f t="shared" si="10"/>
        <v>-3.0799999999999272</v>
      </c>
      <c r="Y43" s="114">
        <f t="shared" si="10"/>
        <v>3.8099999999994907</v>
      </c>
      <c r="Z43" s="114">
        <f t="shared" si="10"/>
        <v>1.9000000000005457</v>
      </c>
      <c r="AA43" s="114">
        <f t="shared" si="10"/>
        <v>3.999999999996362E-2</v>
      </c>
      <c r="AB43" s="114">
        <f t="shared" si="10"/>
        <v>-0.89000000000123691</v>
      </c>
      <c r="AC43" s="114">
        <f t="shared" si="10"/>
        <v>-119.04000000000087</v>
      </c>
      <c r="AD43" s="114">
        <f t="shared" si="10"/>
        <v>-11.5</v>
      </c>
      <c r="AE43" s="114">
        <f t="shared" si="10"/>
        <v>-0.31999999999970896</v>
      </c>
      <c r="AF43" s="114">
        <f t="shared" si="10"/>
        <v>0.45999999999912689</v>
      </c>
      <c r="AG43" s="114">
        <f t="shared" si="10"/>
        <v>-7.6399999999975989</v>
      </c>
      <c r="AH43" s="115">
        <f>SUM(C43:AG43)</f>
        <v>-89.210000000001401</v>
      </c>
      <c r="AI43" s="62"/>
      <c r="AJ43" s="211" t="s">
        <v>32</v>
      </c>
      <c r="AK43" s="212" t="s">
        <v>90</v>
      </c>
      <c r="AL43" s="271">
        <f>AH43</f>
        <v>-89.210000000001401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208553.53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4">
        <v>68.94</v>
      </c>
      <c r="D45" s="484">
        <v>21.85</v>
      </c>
      <c r="E45" s="484">
        <v>54.18</v>
      </c>
      <c r="F45" s="485">
        <v>87.7</v>
      </c>
      <c r="G45" s="484">
        <v>93.72</v>
      </c>
      <c r="H45" s="484">
        <v>163.63999999999999</v>
      </c>
      <c r="I45" s="484">
        <v>84.06</v>
      </c>
      <c r="J45" s="484">
        <v>19.260000000000002</v>
      </c>
      <c r="K45" s="484">
        <v>36.82</v>
      </c>
      <c r="L45" s="484">
        <v>105.51</v>
      </c>
      <c r="M45" s="485">
        <v>63.9</v>
      </c>
      <c r="N45" s="484">
        <v>96.17</v>
      </c>
      <c r="O45" s="484">
        <v>182.29</v>
      </c>
      <c r="P45" s="484">
        <v>179.69</v>
      </c>
      <c r="Q45" s="484">
        <v>116.71</v>
      </c>
      <c r="R45" s="484">
        <v>99.99</v>
      </c>
      <c r="S45" s="484">
        <v>93.01</v>
      </c>
      <c r="T45" s="484">
        <v>94.78</v>
      </c>
      <c r="U45" s="484">
        <v>173.81</v>
      </c>
      <c r="V45" s="484">
        <v>213.85</v>
      </c>
      <c r="W45" s="484">
        <v>163.75</v>
      </c>
      <c r="X45" s="484">
        <v>123.65</v>
      </c>
      <c r="Y45" s="484">
        <v>90.43</v>
      </c>
      <c r="Z45" s="484">
        <v>157.16</v>
      </c>
      <c r="AA45" s="484">
        <v>151.81</v>
      </c>
      <c r="AB45" s="484">
        <v>230.86</v>
      </c>
      <c r="AC45" s="490">
        <v>590.09</v>
      </c>
      <c r="AD45" s="490">
        <v>732.62</v>
      </c>
      <c r="AE45" s="491">
        <v>428.4</v>
      </c>
      <c r="AF45" s="490">
        <v>337.82</v>
      </c>
      <c r="AG45" s="497">
        <v>320.83</v>
      </c>
      <c r="AH45" s="115">
        <f t="shared" ref="AH45" si="11">SUM(C45:AG45)</f>
        <v>5377.2999999999993</v>
      </c>
      <c r="AI45" s="62"/>
      <c r="AJ45" s="211" t="s">
        <v>196</v>
      </c>
      <c r="AK45" s="212" t="s">
        <v>197</v>
      </c>
      <c r="AL45" s="271">
        <f>SUM(C45:AB45)</f>
        <v>2967.54</v>
      </c>
      <c r="AM45" s="272">
        <f>SUM(AC45:AG45)</f>
        <v>2409.7600000000002</v>
      </c>
      <c r="AN45" s="274"/>
    </row>
    <row r="46" spans="1:40" s="102" customFormat="1" ht="16.5" thickBot="1" x14ac:dyDescent="0.3">
      <c r="A46" s="224"/>
      <c r="B46" s="225" t="s">
        <v>232</v>
      </c>
      <c r="C46" s="482">
        <f>C34-C45</f>
        <v>1981.79</v>
      </c>
      <c r="D46" s="482">
        <f t="shared" ref="D46:AG46" si="12">D34-D45</f>
        <v>680.12</v>
      </c>
      <c r="E46" s="482">
        <f t="shared" si="12"/>
        <v>1751.9199999999998</v>
      </c>
      <c r="F46" s="482">
        <f t="shared" si="12"/>
        <v>2835.38</v>
      </c>
      <c r="G46" s="482">
        <f t="shared" si="12"/>
        <v>2994.27</v>
      </c>
      <c r="H46" s="482">
        <f t="shared" si="12"/>
        <v>5290.7599999999993</v>
      </c>
      <c r="I46" s="482">
        <f t="shared" si="12"/>
        <v>2717.7000000000003</v>
      </c>
      <c r="J46" s="482">
        <f t="shared" si="12"/>
        <v>570.74</v>
      </c>
      <c r="K46" s="482">
        <f t="shared" si="12"/>
        <v>1137.8</v>
      </c>
      <c r="L46" s="482">
        <f t="shared" si="12"/>
        <v>3375.2299999999996</v>
      </c>
      <c r="M46" s="482">
        <f t="shared" si="12"/>
        <v>2065.4699999999998</v>
      </c>
      <c r="N46" s="482">
        <f t="shared" si="12"/>
        <v>3109.46</v>
      </c>
      <c r="O46" s="482">
        <f t="shared" si="12"/>
        <v>5894.03</v>
      </c>
      <c r="P46" s="482">
        <f t="shared" si="12"/>
        <v>5810.1600000000008</v>
      </c>
      <c r="Q46" s="482">
        <f t="shared" si="12"/>
        <v>3721.6</v>
      </c>
      <c r="R46" s="482">
        <f t="shared" si="12"/>
        <v>3232.4900000000002</v>
      </c>
      <c r="S46" s="482">
        <f t="shared" si="12"/>
        <v>2954.7099999999996</v>
      </c>
      <c r="T46" s="482">
        <f t="shared" si="12"/>
        <v>2866.58</v>
      </c>
      <c r="U46" s="482">
        <f t="shared" si="12"/>
        <v>5571.83</v>
      </c>
      <c r="V46" s="482">
        <f t="shared" si="12"/>
        <v>6843.6799999999994</v>
      </c>
      <c r="W46" s="482">
        <f t="shared" si="12"/>
        <v>5293.8</v>
      </c>
      <c r="X46" s="482">
        <f t="shared" si="12"/>
        <v>3997.47</v>
      </c>
      <c r="Y46" s="482">
        <f t="shared" si="12"/>
        <v>2845.2000000000003</v>
      </c>
      <c r="Z46" s="482">
        <f t="shared" si="12"/>
        <v>5081.42</v>
      </c>
      <c r="AA46" s="482">
        <f t="shared" si="12"/>
        <v>4908.6899999999996</v>
      </c>
      <c r="AB46" s="482">
        <f t="shared" si="12"/>
        <v>7350.51</v>
      </c>
      <c r="AC46" s="482">
        <f t="shared" si="12"/>
        <v>19191.93</v>
      </c>
      <c r="AD46" s="482">
        <f t="shared" si="12"/>
        <v>23607.73</v>
      </c>
      <c r="AE46" s="482">
        <f t="shared" si="12"/>
        <v>13827.73</v>
      </c>
      <c r="AF46" s="482">
        <f t="shared" si="12"/>
        <v>10843.87</v>
      </c>
      <c r="AG46" s="482">
        <f t="shared" si="12"/>
        <v>10342.379999999999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135</v>
      </c>
      <c r="D47" s="84">
        <v>21</v>
      </c>
      <c r="E47" s="84">
        <v>96</v>
      </c>
      <c r="F47" s="84">
        <v>130</v>
      </c>
      <c r="G47" s="84">
        <v>127</v>
      </c>
      <c r="H47" s="84">
        <v>353</v>
      </c>
      <c r="I47" s="84">
        <v>166</v>
      </c>
      <c r="J47" s="84">
        <v>-1</v>
      </c>
      <c r="K47" s="84">
        <v>82</v>
      </c>
      <c r="L47" s="84">
        <v>129</v>
      </c>
      <c r="M47" s="84">
        <v>86</v>
      </c>
      <c r="N47" s="84">
        <v>146</v>
      </c>
      <c r="O47" s="84">
        <v>327</v>
      </c>
      <c r="P47" s="84">
        <v>339</v>
      </c>
      <c r="Q47" s="84">
        <v>175</v>
      </c>
      <c r="R47" s="84">
        <v>143</v>
      </c>
      <c r="S47" s="84">
        <v>114</v>
      </c>
      <c r="T47" s="84">
        <v>91</v>
      </c>
      <c r="U47" s="84">
        <v>273</v>
      </c>
      <c r="V47" s="84">
        <v>396</v>
      </c>
      <c r="W47" s="84">
        <v>273</v>
      </c>
      <c r="X47" s="84">
        <v>202</v>
      </c>
      <c r="Y47" s="84">
        <v>153</v>
      </c>
      <c r="Z47" s="84">
        <v>268</v>
      </c>
      <c r="AA47" s="84">
        <v>302</v>
      </c>
      <c r="AB47" s="84">
        <v>344</v>
      </c>
      <c r="AC47" s="84">
        <v>1013</v>
      </c>
      <c r="AD47" s="84">
        <v>1193</v>
      </c>
      <c r="AE47" s="84">
        <v>690</v>
      </c>
      <c r="AF47" s="84">
        <v>601</v>
      </c>
      <c r="AG47" s="84">
        <v>512</v>
      </c>
      <c r="AH47" s="103">
        <f>SUM(C47:AG47)</f>
        <v>8879</v>
      </c>
      <c r="AJ47" s="126">
        <f>AH47</f>
        <v>8879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33</v>
      </c>
      <c r="D48" s="94">
        <v>18</v>
      </c>
      <c r="E48" s="94">
        <v>36</v>
      </c>
      <c r="F48" s="94">
        <v>46</v>
      </c>
      <c r="G48" s="94">
        <v>47</v>
      </c>
      <c r="H48" s="94">
        <v>68</v>
      </c>
      <c r="I48" s="94">
        <v>92</v>
      </c>
      <c r="J48" s="94"/>
      <c r="K48" s="94">
        <v>54</v>
      </c>
      <c r="L48" s="94">
        <v>24</v>
      </c>
      <c r="M48" s="94">
        <v>33</v>
      </c>
      <c r="N48" s="94">
        <v>57</v>
      </c>
      <c r="O48" s="94">
        <v>49</v>
      </c>
      <c r="P48" s="94">
        <v>85</v>
      </c>
      <c r="Q48" s="94">
        <v>42</v>
      </c>
      <c r="R48" s="94">
        <v>41</v>
      </c>
      <c r="S48" s="94">
        <v>53</v>
      </c>
      <c r="T48" s="94">
        <v>44</v>
      </c>
      <c r="U48" s="94">
        <v>55</v>
      </c>
      <c r="V48" s="94">
        <v>56</v>
      </c>
      <c r="W48" s="94">
        <v>76</v>
      </c>
      <c r="X48" s="94">
        <v>68</v>
      </c>
      <c r="Y48" s="94">
        <v>25</v>
      </c>
      <c r="Z48" s="94">
        <v>64</v>
      </c>
      <c r="AA48" s="94">
        <v>60</v>
      </c>
      <c r="AB48" s="94">
        <v>95</v>
      </c>
      <c r="AC48" s="94">
        <v>86</v>
      </c>
      <c r="AD48" s="94">
        <v>78</v>
      </c>
      <c r="AE48" s="94">
        <v>105</v>
      </c>
      <c r="AF48" s="94">
        <v>76</v>
      </c>
      <c r="AG48" s="94">
        <v>57</v>
      </c>
      <c r="AH48" s="105">
        <f>SUM(C48:AG48)</f>
        <v>1723</v>
      </c>
      <c r="AJ48" s="135">
        <f>AH48</f>
        <v>1723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168</v>
      </c>
      <c r="D50" s="212">
        <f t="shared" ref="D50:AG50" si="13">D47+D48</f>
        <v>39</v>
      </c>
      <c r="E50" s="212">
        <f t="shared" si="13"/>
        <v>132</v>
      </c>
      <c r="F50" s="212">
        <f t="shared" si="13"/>
        <v>176</v>
      </c>
      <c r="G50" s="212">
        <f t="shared" si="13"/>
        <v>174</v>
      </c>
      <c r="H50" s="212">
        <f t="shared" si="13"/>
        <v>421</v>
      </c>
      <c r="I50" s="212">
        <f t="shared" si="13"/>
        <v>258</v>
      </c>
      <c r="J50" s="212">
        <f t="shared" ref="J50:R50" si="14">J47+J48</f>
        <v>-1</v>
      </c>
      <c r="K50" s="212">
        <f t="shared" si="14"/>
        <v>136</v>
      </c>
      <c r="L50" s="212">
        <f t="shared" si="14"/>
        <v>153</v>
      </c>
      <c r="M50" s="212">
        <f t="shared" si="14"/>
        <v>119</v>
      </c>
      <c r="N50" s="212">
        <f t="shared" si="14"/>
        <v>203</v>
      </c>
      <c r="O50" s="212">
        <f t="shared" si="14"/>
        <v>376</v>
      </c>
      <c r="P50" s="212">
        <f t="shared" si="14"/>
        <v>424</v>
      </c>
      <c r="Q50" s="212">
        <f t="shared" si="14"/>
        <v>217</v>
      </c>
      <c r="R50" s="212">
        <f t="shared" si="14"/>
        <v>184</v>
      </c>
      <c r="S50" s="212">
        <f t="shared" si="13"/>
        <v>167</v>
      </c>
      <c r="T50" s="212">
        <f t="shared" si="13"/>
        <v>135</v>
      </c>
      <c r="U50" s="212">
        <f t="shared" si="13"/>
        <v>328</v>
      </c>
      <c r="V50" s="212">
        <f t="shared" si="13"/>
        <v>452</v>
      </c>
      <c r="W50" s="212">
        <f t="shared" si="13"/>
        <v>349</v>
      </c>
      <c r="X50" s="212">
        <f t="shared" si="13"/>
        <v>270</v>
      </c>
      <c r="Y50" s="212">
        <f t="shared" si="13"/>
        <v>178</v>
      </c>
      <c r="Z50" s="212">
        <f t="shared" si="13"/>
        <v>332</v>
      </c>
      <c r="AA50" s="212">
        <f t="shared" si="13"/>
        <v>362</v>
      </c>
      <c r="AB50" s="212">
        <f t="shared" si="13"/>
        <v>439</v>
      </c>
      <c r="AC50" s="212">
        <f t="shared" si="13"/>
        <v>1099</v>
      </c>
      <c r="AD50" s="212">
        <f t="shared" si="13"/>
        <v>1271</v>
      </c>
      <c r="AE50" s="212">
        <f t="shared" si="13"/>
        <v>795</v>
      </c>
      <c r="AF50" s="212">
        <f t="shared" si="13"/>
        <v>677</v>
      </c>
      <c r="AG50" s="281">
        <f t="shared" si="13"/>
        <v>569</v>
      </c>
      <c r="AH50" s="280">
        <f>SUM(C50:AG50)</f>
        <v>10602</v>
      </c>
      <c r="AJ50" s="211">
        <f>AH50</f>
        <v>10602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12.686904761904762</v>
      </c>
      <c r="D52" s="215">
        <f t="shared" ref="D52:AG52" si="15">IF(D50&lt;=1,0,IF(D50&gt;=0,(SUM(D4+D5)/D50)))</f>
        <v>7.528205128205129</v>
      </c>
      <c r="E52" s="215">
        <f t="shared" si="15"/>
        <v>14.018181818181819</v>
      </c>
      <c r="F52" s="215">
        <f t="shared" si="15"/>
        <v>12.640909090909092</v>
      </c>
      <c r="G52" s="215">
        <f t="shared" si="15"/>
        <v>13.491954022988505</v>
      </c>
      <c r="H52" s="215">
        <f t="shared" si="15"/>
        <v>14.512114014251782</v>
      </c>
      <c r="I52" s="215">
        <f t="shared" si="15"/>
        <v>10.26046511627907</v>
      </c>
      <c r="J52" s="215">
        <f>IF(J50&lt;=1,0,IF(J50&gt;=0,(SUM(J4+J5)/J50)))</f>
        <v>0</v>
      </c>
      <c r="K52" s="215">
        <f t="shared" si="15"/>
        <v>10.602941176470589</v>
      </c>
      <c r="L52" s="215">
        <f t="shared" si="15"/>
        <v>16.196078431372548</v>
      </c>
      <c r="M52" s="215">
        <f t="shared" si="15"/>
        <v>12.678991596638655</v>
      </c>
      <c r="N52" s="215">
        <f t="shared" si="15"/>
        <v>14.031527093596059</v>
      </c>
      <c r="O52" s="215">
        <f t="shared" si="15"/>
        <v>15.628723404255318</v>
      </c>
      <c r="P52" s="215">
        <f t="shared" si="15"/>
        <v>13.580188679245284</v>
      </c>
      <c r="Q52" s="215">
        <f t="shared" si="15"/>
        <v>13.135483870967743</v>
      </c>
      <c r="R52" s="215">
        <f t="shared" si="15"/>
        <v>12.736956521739129</v>
      </c>
      <c r="S52" s="215">
        <f t="shared" si="15"/>
        <v>13.417964071856289</v>
      </c>
      <c r="T52" s="215">
        <f t="shared" si="15"/>
        <v>13.57037037037037</v>
      </c>
      <c r="U52" s="215">
        <f t="shared" si="15"/>
        <v>12.609756097560975</v>
      </c>
      <c r="V52" s="215">
        <f t="shared" si="15"/>
        <v>15.182300884955751</v>
      </c>
      <c r="W52" s="215">
        <f t="shared" si="15"/>
        <v>15.002292263610316</v>
      </c>
      <c r="X52" s="215">
        <f t="shared" si="15"/>
        <v>11.779259259259259</v>
      </c>
      <c r="Y52" s="215">
        <f t="shared" si="15"/>
        <v>14.69438202247191</v>
      </c>
      <c r="Z52" s="215">
        <f t="shared" si="15"/>
        <v>14.275903614457832</v>
      </c>
      <c r="AA52" s="215">
        <f t="shared" si="15"/>
        <v>15.260773480662982</v>
      </c>
      <c r="AB52" s="215">
        <f t="shared" si="15"/>
        <v>13.562186788154898</v>
      </c>
      <c r="AC52" s="215">
        <f t="shared" si="15"/>
        <v>15.73030027297543</v>
      </c>
      <c r="AD52" s="215">
        <f t="shared" si="15"/>
        <v>16.964122738001574</v>
      </c>
      <c r="AE52" s="215">
        <f t="shared" si="15"/>
        <v>15.462138364779873</v>
      </c>
      <c r="AF52" s="215">
        <f t="shared" si="15"/>
        <v>11.994682422451994</v>
      </c>
      <c r="AG52" s="215">
        <f t="shared" si="15"/>
        <v>15.71810193321617</v>
      </c>
      <c r="AH52" s="280">
        <f>IFERROR(AVERAGEIF(C52:AG52, "&lt;&gt;0"),)</f>
        <v>13.631805310393041</v>
      </c>
      <c r="AJ52" s="221">
        <f>AH52</f>
        <v>13.631805310393041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15.788148148148149</v>
      </c>
      <c r="D54" s="242">
        <f t="shared" ref="D54:AG54" si="16">IF(D47&lt;=1,0,IF(D47&gt;=0,(SUM(D4+D5)/D47)))</f>
        <v>13.980952380952383</v>
      </c>
      <c r="E54" s="242">
        <f t="shared" si="16"/>
        <v>19.275000000000002</v>
      </c>
      <c r="F54" s="242">
        <f t="shared" si="16"/>
        <v>17.113846153846154</v>
      </c>
      <c r="G54" s="242">
        <f t="shared" si="16"/>
        <v>18.485039370078738</v>
      </c>
      <c r="H54" s="242">
        <f t="shared" si="16"/>
        <v>17.307648725212466</v>
      </c>
      <c r="I54" s="242">
        <f t="shared" si="16"/>
        <v>15.946987951807229</v>
      </c>
      <c r="J54" s="242">
        <f t="shared" si="16"/>
        <v>0</v>
      </c>
      <c r="K54" s="242">
        <f t="shared" si="16"/>
        <v>17.585365853658537</v>
      </c>
      <c r="L54" s="242">
        <f t="shared" si="16"/>
        <v>19.209302325581394</v>
      </c>
      <c r="M54" s="242">
        <f t="shared" si="16"/>
        <v>17.544186046511626</v>
      </c>
      <c r="N54" s="242">
        <f t="shared" si="16"/>
        <v>19.509589041095889</v>
      </c>
      <c r="O54" s="242">
        <f t="shared" si="16"/>
        <v>17.97064220183486</v>
      </c>
      <c r="P54" s="242">
        <f t="shared" si="16"/>
        <v>16.985250737463126</v>
      </c>
      <c r="Q54" s="242">
        <f t="shared" si="16"/>
        <v>16.288</v>
      </c>
      <c r="R54" s="242">
        <f t="shared" si="16"/>
        <v>16.388811188811189</v>
      </c>
      <c r="S54" s="242">
        <f t="shared" si="16"/>
        <v>19.656140350877195</v>
      </c>
      <c r="T54" s="242">
        <f t="shared" si="16"/>
        <v>20.131868131868131</v>
      </c>
      <c r="U54" s="242">
        <f t="shared" si="16"/>
        <v>15.15018315018315</v>
      </c>
      <c r="V54" s="242">
        <f t="shared" si="16"/>
        <v>17.329292929292929</v>
      </c>
      <c r="W54" s="242">
        <f t="shared" si="16"/>
        <v>19.178754578754578</v>
      </c>
      <c r="X54" s="242">
        <f t="shared" si="16"/>
        <v>15.744554455445545</v>
      </c>
      <c r="Y54" s="242">
        <f t="shared" si="16"/>
        <v>17.095424836601307</v>
      </c>
      <c r="Z54" s="242">
        <f t="shared" si="16"/>
        <v>17.685074626865674</v>
      </c>
      <c r="AA54" s="242">
        <f t="shared" si="16"/>
        <v>18.29271523178808</v>
      </c>
      <c r="AB54" s="242">
        <f t="shared" si="16"/>
        <v>17.307558139534883</v>
      </c>
      <c r="AC54" s="242">
        <f t="shared" si="16"/>
        <v>17.065745310957549</v>
      </c>
      <c r="AD54" s="242">
        <f t="shared" si="16"/>
        <v>18.073260687342835</v>
      </c>
      <c r="AE54" s="242">
        <f t="shared" si="16"/>
        <v>17.815072463768114</v>
      </c>
      <c r="AF54" s="242">
        <f t="shared" si="16"/>
        <v>13.511480865224625</v>
      </c>
      <c r="AG54" s="242">
        <f t="shared" si="16"/>
        <v>17.467968750000001</v>
      </c>
      <c r="AH54" s="279">
        <f>IFERROR(AVERAGEIF(C54:AG54, "&lt;&gt;0"),)</f>
        <v>17.362795487783544</v>
      </c>
      <c r="AI54" s="243"/>
      <c r="AJ54" s="244">
        <f>AH54</f>
        <v>17.362795487783544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97</v>
      </c>
      <c r="D57" s="91">
        <v>99</v>
      </c>
      <c r="E57" s="91">
        <v>98</v>
      </c>
      <c r="F57" s="91">
        <v>98</v>
      </c>
      <c r="G57" s="91">
        <v>97</v>
      </c>
      <c r="H57" s="91">
        <v>98</v>
      </c>
      <c r="I57" s="91">
        <v>95</v>
      </c>
      <c r="J57" s="91"/>
      <c r="K57" s="91">
        <v>98</v>
      </c>
      <c r="L57" s="91">
        <v>100</v>
      </c>
      <c r="M57" s="91">
        <v>99</v>
      </c>
      <c r="N57" s="91">
        <v>98</v>
      </c>
      <c r="O57" s="91">
        <v>98</v>
      </c>
      <c r="P57" s="91">
        <v>95</v>
      </c>
      <c r="Q57" s="91">
        <v>98</v>
      </c>
      <c r="R57" s="91">
        <v>100</v>
      </c>
      <c r="S57" s="91">
        <v>100</v>
      </c>
      <c r="T57" s="91">
        <v>100</v>
      </c>
      <c r="U57" s="91">
        <v>99</v>
      </c>
      <c r="V57" s="91">
        <v>98</v>
      </c>
      <c r="W57" s="91">
        <v>99</v>
      </c>
      <c r="X57" s="91">
        <v>99</v>
      </c>
      <c r="Y57" s="91">
        <v>99</v>
      </c>
      <c r="Z57" s="91">
        <v>99</v>
      </c>
      <c r="AA57" s="91">
        <v>99</v>
      </c>
      <c r="AB57" s="91">
        <v>99</v>
      </c>
      <c r="AC57" s="91">
        <v>99</v>
      </c>
      <c r="AD57" s="91">
        <v>99</v>
      </c>
      <c r="AE57" s="91">
        <v>99</v>
      </c>
      <c r="AF57" s="91">
        <v>99</v>
      </c>
      <c r="AG57" s="91">
        <v>99</v>
      </c>
      <c r="AH57" s="302">
        <f>IFERROR(AVERAGEIF(C57:AG57,"&lt;&gt;0"),)</f>
        <v>98.466666666666669</v>
      </c>
      <c r="AJ57" s="303">
        <f>AH57</f>
        <v>98.466666666666669</v>
      </c>
      <c r="AK57" s="304" t="s">
        <v>133</v>
      </c>
    </row>
    <row r="58" spans="1:37" x14ac:dyDescent="0.25">
      <c r="A58" s="90"/>
      <c r="B58" s="301" t="s">
        <v>155</v>
      </c>
      <c r="C58" s="91">
        <v>85</v>
      </c>
      <c r="D58" s="91">
        <v>86</v>
      </c>
      <c r="E58" s="91">
        <v>82</v>
      </c>
      <c r="F58" s="91">
        <v>88</v>
      </c>
      <c r="G58" s="91">
        <v>83</v>
      </c>
      <c r="H58" s="91">
        <v>85</v>
      </c>
      <c r="I58" s="91">
        <v>84</v>
      </c>
      <c r="J58" s="91"/>
      <c r="K58" s="91">
        <v>83</v>
      </c>
      <c r="L58" s="91">
        <v>83</v>
      </c>
      <c r="M58" s="91">
        <v>95</v>
      </c>
      <c r="N58" s="91">
        <v>88</v>
      </c>
      <c r="O58" s="91">
        <v>87</v>
      </c>
      <c r="P58" s="91">
        <v>86</v>
      </c>
      <c r="Q58" s="91">
        <v>92</v>
      </c>
      <c r="R58" s="91">
        <v>88</v>
      </c>
      <c r="S58" s="91">
        <v>84</v>
      </c>
      <c r="T58" s="91">
        <v>94</v>
      </c>
      <c r="U58" s="91">
        <v>91</v>
      </c>
      <c r="V58" s="91">
        <v>90</v>
      </c>
      <c r="W58" s="91">
        <v>90</v>
      </c>
      <c r="X58" s="91">
        <v>89</v>
      </c>
      <c r="Y58" s="91">
        <v>90</v>
      </c>
      <c r="Z58" s="91">
        <v>84</v>
      </c>
      <c r="AA58" s="91">
        <v>91</v>
      </c>
      <c r="AB58" s="91">
        <v>91</v>
      </c>
      <c r="AC58" s="91">
        <v>89</v>
      </c>
      <c r="AD58" s="91">
        <v>93</v>
      </c>
      <c r="AE58" s="91">
        <v>94</v>
      </c>
      <c r="AF58" s="91">
        <v>94</v>
      </c>
      <c r="AG58" s="91">
        <v>88</v>
      </c>
      <c r="AH58" s="302">
        <f t="shared" ref="AH58:AH60" si="17">IFERROR(AVERAGEIF(C58:AG58,"&lt;&gt;0"),)</f>
        <v>88.233333333333334</v>
      </c>
      <c r="AJ58" s="305">
        <f>AH58</f>
        <v>88.233333333333334</v>
      </c>
      <c r="AK58" s="306" t="s">
        <v>134</v>
      </c>
    </row>
    <row r="59" spans="1:37" x14ac:dyDescent="0.25">
      <c r="A59" s="90"/>
      <c r="B59" s="301" t="s">
        <v>135</v>
      </c>
      <c r="C59" s="301">
        <v>84</v>
      </c>
      <c r="D59" s="301">
        <v>83</v>
      </c>
      <c r="E59" s="301">
        <v>82</v>
      </c>
      <c r="F59" s="301">
        <v>79</v>
      </c>
      <c r="G59" s="301">
        <v>78</v>
      </c>
      <c r="H59" s="301">
        <v>75</v>
      </c>
      <c r="I59" s="301">
        <v>76</v>
      </c>
      <c r="J59" s="301"/>
      <c r="K59" s="301">
        <v>81</v>
      </c>
      <c r="L59" s="301">
        <v>78</v>
      </c>
      <c r="M59" s="301">
        <v>75</v>
      </c>
      <c r="N59" s="301">
        <v>77</v>
      </c>
      <c r="O59" s="301">
        <v>80</v>
      </c>
      <c r="P59" s="301">
        <v>80</v>
      </c>
      <c r="Q59" s="301">
        <v>82</v>
      </c>
      <c r="R59" s="301">
        <v>82</v>
      </c>
      <c r="S59" s="301">
        <v>82</v>
      </c>
      <c r="T59" s="301">
        <v>83</v>
      </c>
      <c r="U59" s="301">
        <v>83</v>
      </c>
      <c r="V59" s="301">
        <v>83</v>
      </c>
      <c r="W59" s="301">
        <v>83</v>
      </c>
      <c r="X59" s="301">
        <v>83</v>
      </c>
      <c r="Y59" s="301">
        <v>83</v>
      </c>
      <c r="Z59" s="301">
        <v>80</v>
      </c>
      <c r="AA59" s="301">
        <v>80</v>
      </c>
      <c r="AB59" s="301">
        <v>79</v>
      </c>
      <c r="AC59" s="301">
        <v>77</v>
      </c>
      <c r="AD59" s="301">
        <v>77</v>
      </c>
      <c r="AE59" s="301">
        <v>80</v>
      </c>
      <c r="AF59" s="301">
        <v>79</v>
      </c>
      <c r="AG59" s="301">
        <v>79</v>
      </c>
      <c r="AH59" s="302">
        <f t="shared" si="17"/>
        <v>80.099999999999994</v>
      </c>
      <c r="AJ59" s="305">
        <f>AH59</f>
        <v>80.099999999999994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7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2"/>
      <c r="B1" s="513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45047</v>
      </c>
      <c r="B2" s="355" t="str">
        <f>TEXT(A2,"ddd")</f>
        <v>Mon</v>
      </c>
      <c r="C2" s="321">
        <f>TRANSPOSE(Pool!C4:AG4)</f>
        <v>2131.4</v>
      </c>
      <c r="D2" s="321">
        <f t="array" ref="D2:D32">TRANSPOSE(Pool!C9:AG9)</f>
        <v>0</v>
      </c>
      <c r="E2" s="321">
        <f t="array" ref="E2:E32">TRANSPOSE(Pool!C14:AG14)</f>
        <v>63</v>
      </c>
      <c r="F2" s="321">
        <f t="array" ref="F2:F32">TRANSPOSE(Pool!C15:AG15)</f>
        <v>60.11</v>
      </c>
      <c r="G2" s="321">
        <f t="array" ref="G2:G32">TRANSPOSE(Pool!C16:AG16)</f>
        <v>0</v>
      </c>
      <c r="H2" s="321">
        <f>TRANSPOSE(Pool!C18:AG18)</f>
        <v>0</v>
      </c>
      <c r="I2" s="324">
        <f t="array" ref="I2:I32">TRANSPOSE(Pool!C20:AG20)</f>
        <v>0</v>
      </c>
      <c r="J2" s="327"/>
      <c r="K2" s="328">
        <f t="array" ref="K2:K32">TRANSPOSE(Pool!C57:AG57)</f>
        <v>97</v>
      </c>
      <c r="L2" s="331">
        <f t="array" ref="L2:L32">TRANSPOSE(Pool!C58:AG58)</f>
        <v>85</v>
      </c>
      <c r="M2" s="334">
        <f t="array" ref="M2:M32">TRANSPOSE(Pool!C59:AG59)</f>
        <v>84</v>
      </c>
      <c r="N2" s="327"/>
      <c r="O2" s="338">
        <f t="array" ref="O2:O32">TRANSPOSE(Pool!C50:AG50)</f>
        <v>168</v>
      </c>
    </row>
    <row r="3" spans="1:15" x14ac:dyDescent="0.25">
      <c r="A3" s="341">
        <f t="shared" ref="A3:A32" si="0">SUM(A2+1)</f>
        <v>45048</v>
      </c>
      <c r="B3" s="356" t="str">
        <f>TEXT(A3,"ddd")</f>
        <v>Tue</v>
      </c>
      <c r="C3" s="322">
        <f>TRANSPOSE(Pool!C9:AG9)</f>
        <v>0</v>
      </c>
      <c r="D3" s="322">
        <v>0</v>
      </c>
      <c r="E3" s="322">
        <v>22</v>
      </c>
      <c r="F3" s="322">
        <v>10.51</v>
      </c>
      <c r="G3" s="322">
        <v>0</v>
      </c>
      <c r="H3" s="322">
        <f>TRANSPOSE(Pool!C19:AG19)</f>
        <v>0</v>
      </c>
      <c r="I3" s="325">
        <v>0</v>
      </c>
      <c r="J3" s="327"/>
      <c r="K3" s="329">
        <v>99</v>
      </c>
      <c r="L3" s="332">
        <v>86</v>
      </c>
      <c r="M3" s="335">
        <v>83</v>
      </c>
      <c r="N3" s="327"/>
      <c r="O3" s="339">
        <v>39</v>
      </c>
    </row>
    <row r="4" spans="1:15" x14ac:dyDescent="0.25">
      <c r="A4" s="341">
        <f t="shared" si="0"/>
        <v>45049</v>
      </c>
      <c r="B4" s="356" t="str">
        <f>TEXT(A4,"DDD")</f>
        <v>Wed</v>
      </c>
      <c r="C4" s="322">
        <f>TRANSPOSE(Pool!C5:AG5)</f>
        <v>0</v>
      </c>
      <c r="D4" s="322">
        <v>0</v>
      </c>
      <c r="E4" s="322">
        <v>4</v>
      </c>
      <c r="F4" s="322">
        <v>245.26</v>
      </c>
      <c r="G4" s="322">
        <v>0</v>
      </c>
      <c r="H4" s="322">
        <f>TRANSPOSE(Pool!C21:AG21)</f>
        <v>45</v>
      </c>
      <c r="I4" s="325">
        <v>0</v>
      </c>
      <c r="J4" s="327"/>
      <c r="K4" s="329">
        <v>98</v>
      </c>
      <c r="L4" s="332">
        <v>82</v>
      </c>
      <c r="M4" s="335">
        <v>82</v>
      </c>
      <c r="N4" s="327"/>
      <c r="O4" s="339">
        <v>132</v>
      </c>
    </row>
    <row r="5" spans="1:15" x14ac:dyDescent="0.25">
      <c r="A5" s="341">
        <f t="shared" si="0"/>
        <v>45050</v>
      </c>
      <c r="B5" s="356" t="str">
        <f>TEXT(A5,"ddd")</f>
        <v>Thu</v>
      </c>
      <c r="C5" s="322">
        <f>TRANSPOSE(Pool!C6:AG6)</f>
        <v>125</v>
      </c>
      <c r="D5" s="322">
        <v>0</v>
      </c>
      <c r="E5" s="322">
        <v>14</v>
      </c>
      <c r="F5" s="322">
        <v>111.2</v>
      </c>
      <c r="G5" s="322">
        <v>0</v>
      </c>
      <c r="H5" s="322">
        <f>TRANSPOSE(Pool!C20:AG20)</f>
        <v>0</v>
      </c>
      <c r="I5" s="325">
        <v>90</v>
      </c>
      <c r="J5" s="327"/>
      <c r="K5" s="329">
        <v>98</v>
      </c>
      <c r="L5" s="332">
        <v>88</v>
      </c>
      <c r="M5" s="335">
        <v>79</v>
      </c>
      <c r="N5" s="327"/>
      <c r="O5" s="339">
        <v>176</v>
      </c>
    </row>
    <row r="6" spans="1:15" x14ac:dyDescent="0.25">
      <c r="A6" s="341">
        <f t="shared" si="0"/>
        <v>45051</v>
      </c>
      <c r="B6" s="356" t="str">
        <f>TEXT(A6,"DDD")</f>
        <v>Fri</v>
      </c>
      <c r="C6" s="322">
        <f>TRANSPOSE(Pool!C7:AG7)</f>
        <v>0</v>
      </c>
      <c r="D6" s="322">
        <v>0</v>
      </c>
      <c r="E6" s="322">
        <v>15</v>
      </c>
      <c r="F6" s="322">
        <v>92.22</v>
      </c>
      <c r="G6" s="322">
        <v>0</v>
      </c>
      <c r="H6" s="322">
        <f>TRANSPOSE(Pool!C22:AG22)</f>
        <v>0</v>
      </c>
      <c r="I6" s="325">
        <v>180</v>
      </c>
      <c r="J6" s="327"/>
      <c r="K6" s="329">
        <v>97</v>
      </c>
      <c r="L6" s="332">
        <v>83</v>
      </c>
      <c r="M6" s="335">
        <v>78</v>
      </c>
      <c r="N6" s="327"/>
      <c r="O6" s="339">
        <v>174</v>
      </c>
    </row>
    <row r="7" spans="1:15" x14ac:dyDescent="0.25">
      <c r="A7" s="341">
        <f t="shared" si="0"/>
        <v>45052</v>
      </c>
      <c r="B7" s="356" t="str">
        <f>TEXT(A7,"ddd")</f>
        <v>Sat</v>
      </c>
      <c r="C7" s="322">
        <f>TRANSPOSE(Pool!C8:AG8)</f>
        <v>0</v>
      </c>
      <c r="D7" s="322">
        <v>16</v>
      </c>
      <c r="E7" s="322">
        <v>24</v>
      </c>
      <c r="F7" s="322">
        <v>280.85000000000002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>
        <v>85</v>
      </c>
      <c r="M7" s="335">
        <v>75</v>
      </c>
      <c r="N7" s="327"/>
      <c r="O7" s="339">
        <v>421</v>
      </c>
    </row>
    <row r="8" spans="1:15" x14ac:dyDescent="0.25">
      <c r="A8" s="341">
        <f t="shared" si="0"/>
        <v>45053</v>
      </c>
      <c r="B8" s="356" t="str">
        <f>TEXT(A8,"DDD")</f>
        <v>Sun</v>
      </c>
      <c r="C8" s="322">
        <f>TRANSPOSE(Pool!C10:AG10)</f>
        <v>0</v>
      </c>
      <c r="D8" s="322">
        <v>0</v>
      </c>
      <c r="E8" s="322">
        <v>50</v>
      </c>
      <c r="F8" s="322">
        <v>49.36</v>
      </c>
      <c r="G8" s="322">
        <v>0</v>
      </c>
      <c r="H8" s="322">
        <f>TRANSPOSE(Pool!C24:AG24)</f>
        <v>0</v>
      </c>
      <c r="I8" s="325">
        <v>0</v>
      </c>
      <c r="J8" s="327"/>
      <c r="K8" s="329">
        <v>95</v>
      </c>
      <c r="L8" s="332">
        <v>84</v>
      </c>
      <c r="M8" s="335">
        <v>76</v>
      </c>
      <c r="N8" s="327"/>
      <c r="O8" s="339">
        <v>258</v>
      </c>
    </row>
    <row r="9" spans="1:15" x14ac:dyDescent="0.25">
      <c r="A9" s="341">
        <f t="shared" si="0"/>
        <v>45054</v>
      </c>
      <c r="B9" s="356" t="str">
        <f>TEXT(A9,"ddd")</f>
        <v>Mon</v>
      </c>
      <c r="C9" s="322">
        <f>TRANSPOSE(Pool!C11:AG11)</f>
        <v>0</v>
      </c>
      <c r="D9" s="322">
        <v>0</v>
      </c>
      <c r="E9" s="322">
        <v>0</v>
      </c>
      <c r="F9" s="322">
        <v>0</v>
      </c>
      <c r="G9" s="322">
        <v>0</v>
      </c>
      <c r="H9" s="322">
        <f>TRANSPOSE(Pool!C25:AG25)</f>
        <v>0</v>
      </c>
      <c r="I9" s="325">
        <v>0</v>
      </c>
      <c r="J9" s="327"/>
      <c r="K9" s="329">
        <v>0</v>
      </c>
      <c r="L9" s="332">
        <v>0</v>
      </c>
      <c r="M9" s="336">
        <v>0</v>
      </c>
      <c r="N9" s="327"/>
      <c r="O9" s="339">
        <v>-1</v>
      </c>
    </row>
    <row r="10" spans="1:15" x14ac:dyDescent="0.25">
      <c r="A10" s="341">
        <f t="shared" si="0"/>
        <v>45055</v>
      </c>
      <c r="B10" s="356" t="str">
        <f>TEXT(A10,"DDD")</f>
        <v>Tue</v>
      </c>
      <c r="C10" s="322">
        <f>TRANSPOSE(Pool!C12:AG12)</f>
        <v>0</v>
      </c>
      <c r="D10" s="322">
        <v>0</v>
      </c>
      <c r="E10" s="322">
        <v>8</v>
      </c>
      <c r="F10" s="322">
        <v>118.85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>
        <v>83</v>
      </c>
      <c r="M10" s="335">
        <v>81</v>
      </c>
      <c r="N10" s="327"/>
      <c r="O10" s="339">
        <v>136</v>
      </c>
    </row>
    <row r="11" spans="1:15" x14ac:dyDescent="0.25">
      <c r="A11" s="341">
        <f t="shared" si="0"/>
        <v>45056</v>
      </c>
      <c r="B11" s="356" t="str">
        <f>TEXT(A11,"ddd")</f>
        <v>Wed</v>
      </c>
      <c r="C11" s="322">
        <f>TRANSPOSE(Pool!C13:AG13)</f>
        <v>0</v>
      </c>
      <c r="D11" s="322">
        <v>0</v>
      </c>
      <c r="E11" s="322">
        <v>4</v>
      </c>
      <c r="F11" s="322">
        <v>97.74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100</v>
      </c>
      <c r="L11" s="332">
        <v>83</v>
      </c>
      <c r="M11" s="335">
        <v>78</v>
      </c>
      <c r="N11" s="327"/>
      <c r="O11" s="339">
        <v>153</v>
      </c>
    </row>
    <row r="12" spans="1:15" x14ac:dyDescent="0.25">
      <c r="A12" s="341">
        <f t="shared" si="0"/>
        <v>45057</v>
      </c>
      <c r="B12" s="356" t="str">
        <f>TEXT(A12,"DDD")</f>
        <v>Thu</v>
      </c>
      <c r="C12" s="322">
        <f>TRANSPOSE(Pool!C14:AG14)</f>
        <v>63</v>
      </c>
      <c r="D12" s="322">
        <v>0</v>
      </c>
      <c r="E12" s="322">
        <v>17</v>
      </c>
      <c r="F12" s="322">
        <v>65.81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99</v>
      </c>
      <c r="L12" s="332">
        <v>95</v>
      </c>
      <c r="M12" s="335">
        <v>75</v>
      </c>
      <c r="N12" s="327"/>
      <c r="O12" s="339">
        <v>119</v>
      </c>
    </row>
    <row r="13" spans="1:15" x14ac:dyDescent="0.25">
      <c r="A13" s="341">
        <f t="shared" si="0"/>
        <v>45058</v>
      </c>
      <c r="B13" s="356" t="str">
        <f>TEXT(A13,"ddd")</f>
        <v>Fri</v>
      </c>
      <c r="C13" s="322">
        <f>TRANSPOSE(Pool!C15:AG15)</f>
        <v>60.11</v>
      </c>
      <c r="D13" s="322">
        <v>0</v>
      </c>
      <c r="E13" s="322">
        <v>29</v>
      </c>
      <c r="F13" s="322">
        <v>164.66</v>
      </c>
      <c r="G13" s="322">
        <v>0</v>
      </c>
      <c r="H13" s="322">
        <f>TRANSPOSE(Pool!C29:AG29)</f>
        <v>6690.0300000000007</v>
      </c>
      <c r="I13" s="325">
        <v>90</v>
      </c>
      <c r="J13" s="327"/>
      <c r="K13" s="329">
        <v>98</v>
      </c>
      <c r="L13" s="332">
        <v>88</v>
      </c>
      <c r="M13" s="335">
        <v>77</v>
      </c>
      <c r="N13" s="327"/>
      <c r="O13" s="339">
        <v>203</v>
      </c>
    </row>
    <row r="14" spans="1:15" x14ac:dyDescent="0.25">
      <c r="A14" s="341">
        <f t="shared" si="0"/>
        <v>45059</v>
      </c>
      <c r="B14" s="356" t="str">
        <f>TEXT(A14,"DDD")</f>
        <v>Sat</v>
      </c>
      <c r="C14" s="322">
        <f>TRANSPOSE(Pool!C16:AG16)</f>
        <v>0</v>
      </c>
      <c r="D14" s="322">
        <v>0</v>
      </c>
      <c r="E14" s="322">
        <v>4</v>
      </c>
      <c r="F14" s="322">
        <v>262.88</v>
      </c>
      <c r="G14" s="322">
        <v>0</v>
      </c>
      <c r="H14" s="322">
        <f>TRANSPOSE(Pool!C30:AG30)</f>
        <v>6690.03</v>
      </c>
      <c r="I14" s="325">
        <v>0</v>
      </c>
      <c r="J14" s="327"/>
      <c r="K14" s="329">
        <v>98</v>
      </c>
      <c r="L14" s="332">
        <v>87</v>
      </c>
      <c r="M14" s="335">
        <v>80</v>
      </c>
      <c r="N14" s="327"/>
      <c r="O14" s="339">
        <v>376</v>
      </c>
    </row>
    <row r="15" spans="1:15" x14ac:dyDescent="0.25">
      <c r="A15" s="341">
        <f t="shared" si="0"/>
        <v>45060</v>
      </c>
      <c r="B15" s="356" t="str">
        <f>TEXT(A15,"ddd")</f>
        <v>Sun</v>
      </c>
      <c r="C15" s="322">
        <f>TRANSPOSE(Pool!C18:AG18)</f>
        <v>260</v>
      </c>
      <c r="D15" s="322">
        <v>0</v>
      </c>
      <c r="E15" s="322">
        <v>4</v>
      </c>
      <c r="F15" s="322">
        <v>189.9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95</v>
      </c>
      <c r="L15" s="332">
        <v>86</v>
      </c>
      <c r="M15" s="335">
        <v>80</v>
      </c>
      <c r="N15" s="327"/>
      <c r="O15" s="339">
        <v>424</v>
      </c>
    </row>
    <row r="16" spans="1:15" x14ac:dyDescent="0.25">
      <c r="A16" s="341">
        <f t="shared" si="0"/>
        <v>45061</v>
      </c>
      <c r="B16" s="356" t="str">
        <f>TEXT(A16,"DDD")</f>
        <v>Mon</v>
      </c>
      <c r="C16" s="322">
        <f>TRANSPOSE(Pool!C19:AG19)</f>
        <v>0</v>
      </c>
      <c r="D16" s="322">
        <v>0</v>
      </c>
      <c r="E16" s="322">
        <v>62</v>
      </c>
      <c r="F16" s="322">
        <v>199.28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98</v>
      </c>
      <c r="L16" s="332">
        <v>92</v>
      </c>
      <c r="M16" s="335">
        <v>82</v>
      </c>
      <c r="N16" s="327"/>
      <c r="O16" s="339">
        <v>217</v>
      </c>
    </row>
    <row r="17" spans="1:15" x14ac:dyDescent="0.25">
      <c r="A17" s="341">
        <f t="shared" si="0"/>
        <v>45062</v>
      </c>
      <c r="B17" s="356" t="str">
        <f>TEXT(A17,"ddd")</f>
        <v>Tue</v>
      </c>
      <c r="C17" s="322">
        <f>TRANSPOSE(Pool!C21:AG21)</f>
        <v>0</v>
      </c>
      <c r="D17" s="322">
        <v>0</v>
      </c>
      <c r="E17" s="322">
        <v>17</v>
      </c>
      <c r="F17" s="322">
        <v>64.680000000000007</v>
      </c>
      <c r="G17" s="322">
        <v>0</v>
      </c>
      <c r="H17" s="322">
        <f>TRANSPOSE(Pool!C33:AG33)</f>
        <v>1235.72</v>
      </c>
      <c r="I17" s="325">
        <v>0</v>
      </c>
      <c r="J17" s="327"/>
      <c r="K17" s="329">
        <v>100</v>
      </c>
      <c r="L17" s="332">
        <v>88</v>
      </c>
      <c r="M17" s="335">
        <v>82</v>
      </c>
      <c r="N17" s="327"/>
      <c r="O17" s="339">
        <v>184</v>
      </c>
    </row>
    <row r="18" spans="1:15" x14ac:dyDescent="0.25">
      <c r="A18" s="341">
        <f t="shared" si="0"/>
        <v>45063</v>
      </c>
      <c r="B18" s="356" t="str">
        <f>TEXT(A18,"DDD")</f>
        <v>Wed</v>
      </c>
      <c r="C18" s="322">
        <f>TRANSPOSE(Pool!C20:AG20)</f>
        <v>0</v>
      </c>
      <c r="D18" s="322">
        <v>0</v>
      </c>
      <c r="E18" s="322">
        <v>8</v>
      </c>
      <c r="F18" s="322">
        <v>111.76</v>
      </c>
      <c r="G18" s="322">
        <v>0</v>
      </c>
      <c r="H18" s="322">
        <f>TRANSPOSE(Pool!C34:AG34)</f>
        <v>5454.4</v>
      </c>
      <c r="I18" s="325">
        <v>0</v>
      </c>
      <c r="J18" s="327"/>
      <c r="K18" s="329">
        <v>100</v>
      </c>
      <c r="L18" s="332">
        <v>84</v>
      </c>
      <c r="M18" s="335">
        <v>82</v>
      </c>
      <c r="N18" s="327"/>
      <c r="O18" s="339">
        <v>167</v>
      </c>
    </row>
    <row r="19" spans="1:15" x14ac:dyDescent="0.25">
      <c r="A19" s="341">
        <f t="shared" si="0"/>
        <v>45064</v>
      </c>
      <c r="B19" s="356" t="str">
        <f>TEXT(A19,"ddd")</f>
        <v>Thu</v>
      </c>
      <c r="C19" s="322">
        <f>TRANSPOSE(Pool!C22:AG22)</f>
        <v>0</v>
      </c>
      <c r="D19" s="322">
        <v>0</v>
      </c>
      <c r="E19" s="322">
        <v>4</v>
      </c>
      <c r="F19" s="322">
        <v>112.98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100</v>
      </c>
      <c r="L19" s="332">
        <v>94</v>
      </c>
      <c r="M19" s="335">
        <v>83</v>
      </c>
      <c r="N19" s="327"/>
      <c r="O19" s="339">
        <v>135</v>
      </c>
    </row>
    <row r="20" spans="1:15" x14ac:dyDescent="0.25">
      <c r="A20" s="341">
        <f t="shared" si="0"/>
        <v>45065</v>
      </c>
      <c r="B20" s="356" t="str">
        <f>TEXT(A20,"DDD")</f>
        <v>Fri</v>
      </c>
      <c r="C20" s="322">
        <f>TRANSPOSE(Pool!C23:AG23)</f>
        <v>0</v>
      </c>
      <c r="D20" s="322">
        <v>0</v>
      </c>
      <c r="E20" s="322">
        <v>0</v>
      </c>
      <c r="F20" s="322">
        <v>243.41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99</v>
      </c>
      <c r="L20" s="332">
        <v>91</v>
      </c>
      <c r="M20" s="335">
        <v>83</v>
      </c>
      <c r="N20" s="327"/>
      <c r="O20" s="339">
        <v>328</v>
      </c>
    </row>
    <row r="21" spans="1:15" x14ac:dyDescent="0.25">
      <c r="A21" s="341">
        <f t="shared" si="0"/>
        <v>45066</v>
      </c>
      <c r="B21" s="356" t="str">
        <f>TEXT(A21,"ddd")</f>
        <v>Sat</v>
      </c>
      <c r="C21" s="322">
        <f>TRANSPOSE(Pool!C24:AG24)</f>
        <v>0</v>
      </c>
      <c r="D21" s="322">
        <v>0</v>
      </c>
      <c r="E21" s="322">
        <v>0</v>
      </c>
      <c r="F21" s="322">
        <v>309.48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98</v>
      </c>
      <c r="L21" s="332">
        <v>90</v>
      </c>
      <c r="M21" s="335">
        <v>83</v>
      </c>
      <c r="N21" s="327"/>
      <c r="O21" s="339">
        <v>452</v>
      </c>
    </row>
    <row r="22" spans="1:15" x14ac:dyDescent="0.25">
      <c r="A22" s="341">
        <f t="shared" si="0"/>
        <v>45067</v>
      </c>
      <c r="B22" s="356" t="str">
        <f>TEXT(A22,"DDD")</f>
        <v>Sun</v>
      </c>
      <c r="C22" s="322">
        <f>TRANSPOSE(Pool!C25:AG25)</f>
        <v>0</v>
      </c>
      <c r="D22" s="322">
        <v>0</v>
      </c>
      <c r="E22" s="322">
        <v>57</v>
      </c>
      <c r="F22" s="322">
        <v>242.8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99</v>
      </c>
      <c r="L22" s="332">
        <v>90</v>
      </c>
      <c r="M22" s="335">
        <v>83</v>
      </c>
      <c r="N22" s="327"/>
      <c r="O22" s="339">
        <v>349</v>
      </c>
    </row>
    <row r="23" spans="1:15" x14ac:dyDescent="0.25">
      <c r="A23" s="341">
        <f t="shared" si="0"/>
        <v>45068</v>
      </c>
      <c r="B23" s="356" t="str">
        <f>TEXT(A23,"ddd")</f>
        <v>Mon</v>
      </c>
      <c r="C23" s="322">
        <f>TRANSPOSE(Pool!C26:AG26)</f>
        <v>0</v>
      </c>
      <c r="D23" s="322">
        <v>0</v>
      </c>
      <c r="E23" s="322">
        <v>29</v>
      </c>
      <c r="F23" s="322">
        <v>196.25</v>
      </c>
      <c r="G23" s="322">
        <v>0</v>
      </c>
      <c r="H23" s="322">
        <f>TRANSPOSE(Pool!C39:AG39)</f>
        <v>6690.12</v>
      </c>
      <c r="I23" s="325">
        <v>0</v>
      </c>
      <c r="J23" s="327"/>
      <c r="K23" s="329">
        <v>99</v>
      </c>
      <c r="L23" s="332">
        <v>89</v>
      </c>
      <c r="M23" s="335">
        <v>83</v>
      </c>
      <c r="N23" s="327"/>
      <c r="O23" s="339">
        <v>270</v>
      </c>
    </row>
    <row r="24" spans="1:15" x14ac:dyDescent="0.25">
      <c r="A24" s="341">
        <f t="shared" si="0"/>
        <v>45069</v>
      </c>
      <c r="B24" s="356" t="str">
        <f>TEXT(A24,"DDD")</f>
        <v>Tue</v>
      </c>
      <c r="C24" s="322">
        <f>TRANSPOSE(Pool!C27:AG27)</f>
        <v>0</v>
      </c>
      <c r="D24" s="322">
        <v>0</v>
      </c>
      <c r="E24" s="322">
        <v>32</v>
      </c>
      <c r="F24" s="322">
        <v>344.37</v>
      </c>
      <c r="G24" s="322">
        <v>0</v>
      </c>
      <c r="H24" s="322">
        <f>TRANSPOSE(Pool!C40:AG40)</f>
        <v>6690.03</v>
      </c>
      <c r="I24" s="325">
        <v>0</v>
      </c>
      <c r="J24" s="327"/>
      <c r="K24" s="329">
        <v>99</v>
      </c>
      <c r="L24" s="332">
        <v>90</v>
      </c>
      <c r="M24" s="335">
        <v>83</v>
      </c>
      <c r="N24" s="327"/>
      <c r="O24" s="339">
        <v>178</v>
      </c>
    </row>
    <row r="25" spans="1:15" x14ac:dyDescent="0.25">
      <c r="A25" s="341">
        <f t="shared" si="0"/>
        <v>45070</v>
      </c>
      <c r="B25" s="356" t="str">
        <f>TEXT(A25,"ddd")</f>
        <v>Wed</v>
      </c>
      <c r="C25" s="322">
        <f>TRANSPOSE(Pool!C28:AG28)</f>
        <v>0</v>
      </c>
      <c r="D25" s="322">
        <v>0</v>
      </c>
      <c r="E25" s="322">
        <v>0</v>
      </c>
      <c r="F25" s="322">
        <v>376.83</v>
      </c>
      <c r="G25" s="322">
        <v>0</v>
      </c>
      <c r="H25" s="322">
        <f>TRANSPOSE(Pool!C41:AG41)</f>
        <v>9.0000000000145519E-2</v>
      </c>
      <c r="I25" s="325">
        <v>0</v>
      </c>
      <c r="J25" s="327"/>
      <c r="K25" s="329">
        <v>99</v>
      </c>
      <c r="L25" s="332">
        <v>84</v>
      </c>
      <c r="M25" s="335">
        <v>80</v>
      </c>
      <c r="N25" s="327"/>
      <c r="O25" s="339">
        <v>332</v>
      </c>
    </row>
    <row r="26" spans="1:15" x14ac:dyDescent="0.25">
      <c r="A26" s="341">
        <f t="shared" si="0"/>
        <v>45071</v>
      </c>
      <c r="B26" s="356" t="str">
        <f>TEXT(A26,"DDD")</f>
        <v>Thu</v>
      </c>
      <c r="C26" s="322">
        <f>TRANSPOSE(Pool!C29:AG29)</f>
        <v>2658.03</v>
      </c>
      <c r="D26" s="322">
        <v>0</v>
      </c>
      <c r="E26" s="322">
        <v>62</v>
      </c>
      <c r="F26" s="322">
        <v>407.17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99</v>
      </c>
      <c r="L26" s="332">
        <v>91</v>
      </c>
      <c r="M26" s="335">
        <v>80</v>
      </c>
      <c r="N26" s="327"/>
      <c r="O26" s="339">
        <v>362</v>
      </c>
    </row>
    <row r="27" spans="1:15" x14ac:dyDescent="0.25">
      <c r="A27" s="341">
        <f t="shared" si="0"/>
        <v>45072</v>
      </c>
      <c r="B27" s="356" t="str">
        <f>TEXT(A27,"ddd")</f>
        <v>Fri</v>
      </c>
      <c r="C27" s="322">
        <f>TRANSPOSE(Pool!C30:AG30)</f>
        <v>2658.03</v>
      </c>
      <c r="D27" s="322">
        <v>0</v>
      </c>
      <c r="E27" s="322">
        <v>16</v>
      </c>
      <c r="F27" s="322">
        <v>399.56</v>
      </c>
      <c r="G27" s="322">
        <v>0</v>
      </c>
      <c r="H27" s="322">
        <f>TRANSPOSE(Pool!C43:AG43)</f>
        <v>-8.9999999999236024E-2</v>
      </c>
      <c r="I27" s="325">
        <v>0</v>
      </c>
      <c r="J27" s="327"/>
      <c r="K27" s="329">
        <v>99</v>
      </c>
      <c r="L27" s="332">
        <v>91</v>
      </c>
      <c r="M27" s="335">
        <v>79</v>
      </c>
      <c r="N27" s="327"/>
      <c r="O27" s="339">
        <v>439</v>
      </c>
    </row>
    <row r="28" spans="1:15" x14ac:dyDescent="0.25">
      <c r="A28" s="341">
        <f t="shared" si="0"/>
        <v>45073</v>
      </c>
      <c r="B28" s="356" t="str">
        <f>TEXT(A28,"DDD")</f>
        <v>Sat</v>
      </c>
      <c r="C28" s="322">
        <f>TRANSPOSE(Pool!C31:AG31)</f>
        <v>0</v>
      </c>
      <c r="D28" s="322">
        <v>981</v>
      </c>
      <c r="E28" s="322">
        <v>72</v>
      </c>
      <c r="F28" s="322">
        <v>1364.34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99</v>
      </c>
      <c r="L28" s="332">
        <v>89</v>
      </c>
      <c r="M28" s="335">
        <v>77</v>
      </c>
      <c r="N28" s="327"/>
      <c r="O28" s="339">
        <v>1099</v>
      </c>
    </row>
    <row r="29" spans="1:15" x14ac:dyDescent="0.25">
      <c r="A29" s="341">
        <f t="shared" si="0"/>
        <v>45074</v>
      </c>
      <c r="B29" s="356" t="str">
        <f>TEXT(A29,"ddd")</f>
        <v>Sun</v>
      </c>
      <c r="C29" s="322">
        <f>TRANSPOSE(Pool!C32:AG32)</f>
        <v>0</v>
      </c>
      <c r="D29" s="322">
        <v>1050</v>
      </c>
      <c r="E29" s="322">
        <v>53</v>
      </c>
      <c r="F29" s="322">
        <v>1670.6</v>
      </c>
      <c r="G29" s="322">
        <v>0</v>
      </c>
      <c r="H29" s="322">
        <f>TRANSPOSE(Pool!C45:AG45)</f>
        <v>163.63999999999999</v>
      </c>
      <c r="I29" s="325">
        <v>0</v>
      </c>
      <c r="J29" s="327"/>
      <c r="K29" s="329">
        <v>99</v>
      </c>
      <c r="L29" s="332">
        <v>93</v>
      </c>
      <c r="M29" s="335">
        <v>77</v>
      </c>
      <c r="N29" s="327"/>
      <c r="O29" s="339">
        <v>1271</v>
      </c>
    </row>
    <row r="30" spans="1:15" x14ac:dyDescent="0.25">
      <c r="A30" s="341">
        <f t="shared" si="0"/>
        <v>45075</v>
      </c>
      <c r="B30" s="356" t="str">
        <f>TEXT(A30,"ddd")</f>
        <v>Mon</v>
      </c>
      <c r="C30" s="322">
        <f>TRANSPOSE(Pool!C33:AG33)</f>
        <v>607.80999999999995</v>
      </c>
      <c r="D30" s="322">
        <v>778</v>
      </c>
      <c r="E30" s="322">
        <v>83</v>
      </c>
      <c r="F30" s="322">
        <v>979.29</v>
      </c>
      <c r="G30" s="322">
        <v>0</v>
      </c>
      <c r="H30" s="322">
        <f>TRANSPOSE(Pool!C46:AG46)</f>
        <v>5290.7599999999993</v>
      </c>
      <c r="I30" s="325">
        <v>0</v>
      </c>
      <c r="J30" s="327"/>
      <c r="K30" s="329">
        <v>99</v>
      </c>
      <c r="L30" s="332">
        <v>94</v>
      </c>
      <c r="M30" s="335">
        <v>80</v>
      </c>
      <c r="N30" s="327"/>
      <c r="O30" s="339">
        <v>795</v>
      </c>
    </row>
    <row r="31" spans="1:15" x14ac:dyDescent="0.25">
      <c r="A31" s="341">
        <f t="shared" si="0"/>
        <v>45076</v>
      </c>
      <c r="B31" s="356" t="str">
        <f>TEXT(A31,"ddd")</f>
        <v>Tue</v>
      </c>
      <c r="C31" s="322">
        <f>TRANSPOSE(Pool!C34:AG34)</f>
        <v>2050.73</v>
      </c>
      <c r="D31" s="322">
        <v>337</v>
      </c>
      <c r="E31" s="322">
        <v>57</v>
      </c>
      <c r="F31" s="322">
        <v>461.92</v>
      </c>
      <c r="G31" s="322">
        <v>0</v>
      </c>
      <c r="H31" s="322">
        <f>TRANSPOSE(Pool!C47:AG47)</f>
        <v>353</v>
      </c>
      <c r="I31" s="325">
        <v>0</v>
      </c>
      <c r="J31" s="327"/>
      <c r="K31" s="329">
        <v>99</v>
      </c>
      <c r="L31" s="332">
        <v>94</v>
      </c>
      <c r="M31" s="335">
        <v>79</v>
      </c>
      <c r="N31" s="327"/>
      <c r="O31" s="339">
        <v>677</v>
      </c>
    </row>
    <row r="32" spans="1:15" ht="15.75" thickBot="1" x14ac:dyDescent="0.3">
      <c r="A32" s="342">
        <f t="shared" si="0"/>
        <v>45077</v>
      </c>
      <c r="B32" s="357" t="str">
        <f>TEXT(A32,"ddd")</f>
        <v>Wed</v>
      </c>
      <c r="C32" s="323">
        <f>TRANSPOSE(Pool!C35:AG35)</f>
        <v>0</v>
      </c>
      <c r="D32" s="323">
        <v>1356</v>
      </c>
      <c r="E32" s="323">
        <v>28</v>
      </c>
      <c r="F32" s="323">
        <v>361.49</v>
      </c>
      <c r="G32" s="323">
        <v>0</v>
      </c>
      <c r="H32" s="323">
        <f>TRANSPOSE(Pool!C48:AG48)</f>
        <v>68</v>
      </c>
      <c r="I32" s="326">
        <v>0</v>
      </c>
      <c r="J32" s="327"/>
      <c r="K32" s="330">
        <v>99</v>
      </c>
      <c r="L32" s="333">
        <v>88</v>
      </c>
      <c r="M32" s="337">
        <v>79</v>
      </c>
      <c r="N32" s="327"/>
      <c r="O32" s="340">
        <v>569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10614.11</v>
      </c>
      <c r="D34" s="345">
        <f t="shared" si="1"/>
        <v>4518</v>
      </c>
      <c r="E34" s="345">
        <f t="shared" si="1"/>
        <v>838</v>
      </c>
      <c r="F34" s="345">
        <f t="shared" si="1"/>
        <v>9595.5600000000013</v>
      </c>
      <c r="G34" s="345">
        <f t="shared" si="1"/>
        <v>0</v>
      </c>
      <c r="H34" s="345">
        <f t="shared" si="1"/>
        <v>39370.730000000003</v>
      </c>
      <c r="I34" s="346">
        <f t="shared" si="1"/>
        <v>360</v>
      </c>
      <c r="J34" s="60"/>
      <c r="K34" s="347">
        <f>Pool!AJ57</f>
        <v>98.466666666666669</v>
      </c>
      <c r="L34" s="348">
        <f>Pool!AJ58</f>
        <v>88.233333333333334</v>
      </c>
      <c r="M34" s="349">
        <f>Pool!AJ59</f>
        <v>80.099999999999994</v>
      </c>
      <c r="N34" s="102"/>
      <c r="O34" s="350">
        <f>SUM(O2:O33)</f>
        <v>10602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AM31" sqref="AM31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23" width="9.5703125" style="59" bestFit="1" customWidth="1"/>
    <col min="24" max="24" width="9.5703125" style="59" customWidth="1"/>
    <col min="25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May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45047</v>
      </c>
      <c r="D2" s="106">
        <f t="shared" ref="D2:AG2" si="0">C2+1</f>
        <v>45048</v>
      </c>
      <c r="E2" s="106">
        <f t="shared" si="0"/>
        <v>45049</v>
      </c>
      <c r="F2" s="106">
        <f t="shared" si="0"/>
        <v>45050</v>
      </c>
      <c r="G2" s="106">
        <f t="shared" si="0"/>
        <v>45051</v>
      </c>
      <c r="H2" s="106">
        <f t="shared" si="0"/>
        <v>45052</v>
      </c>
      <c r="I2" s="106">
        <f t="shared" si="0"/>
        <v>45053</v>
      </c>
      <c r="J2" s="106">
        <f t="shared" si="0"/>
        <v>45054</v>
      </c>
      <c r="K2" s="106">
        <f t="shared" si="0"/>
        <v>45055</v>
      </c>
      <c r="L2" s="106">
        <f t="shared" si="0"/>
        <v>45056</v>
      </c>
      <c r="M2" s="106">
        <f t="shared" si="0"/>
        <v>45057</v>
      </c>
      <c r="N2" s="106">
        <f t="shared" si="0"/>
        <v>45058</v>
      </c>
      <c r="O2" s="106">
        <f t="shared" si="0"/>
        <v>45059</v>
      </c>
      <c r="P2" s="106">
        <f t="shared" si="0"/>
        <v>45060</v>
      </c>
      <c r="Q2" s="106">
        <f t="shared" si="0"/>
        <v>45061</v>
      </c>
      <c r="R2" s="106">
        <f t="shared" si="0"/>
        <v>45062</v>
      </c>
      <c r="S2" s="106">
        <f t="shared" si="0"/>
        <v>45063</v>
      </c>
      <c r="T2" s="106">
        <f t="shared" si="0"/>
        <v>45064</v>
      </c>
      <c r="U2" s="106">
        <f t="shared" si="0"/>
        <v>45065</v>
      </c>
      <c r="V2" s="106">
        <f t="shared" si="0"/>
        <v>45066</v>
      </c>
      <c r="W2" s="106">
        <f t="shared" si="0"/>
        <v>45067</v>
      </c>
      <c r="X2" s="106">
        <f t="shared" si="0"/>
        <v>45068</v>
      </c>
      <c r="Y2" s="106">
        <f t="shared" si="0"/>
        <v>45069</v>
      </c>
      <c r="Z2" s="106">
        <f t="shared" si="0"/>
        <v>45070</v>
      </c>
      <c r="AA2" s="106">
        <f t="shared" si="0"/>
        <v>45071</v>
      </c>
      <c r="AB2" s="106">
        <f t="shared" si="0"/>
        <v>45072</v>
      </c>
      <c r="AC2" s="106">
        <f t="shared" si="0"/>
        <v>45073</v>
      </c>
      <c r="AD2" s="106">
        <f t="shared" si="0"/>
        <v>45074</v>
      </c>
      <c r="AE2" s="106">
        <f t="shared" si="0"/>
        <v>45075</v>
      </c>
      <c r="AF2" s="106">
        <f t="shared" si="0"/>
        <v>45076</v>
      </c>
      <c r="AG2" s="106">
        <f t="shared" si="0"/>
        <v>45077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>
        <v>1.62</v>
      </c>
      <c r="O3" s="113">
        <v>13.08</v>
      </c>
      <c r="P3" s="113">
        <v>9.2100000000000009</v>
      </c>
      <c r="Q3" s="113">
        <v>13.24</v>
      </c>
      <c r="R3" s="113">
        <v>13.29</v>
      </c>
      <c r="S3" s="113">
        <v>7.76</v>
      </c>
      <c r="T3" s="113">
        <v>6.01</v>
      </c>
      <c r="U3" s="113">
        <v>11.28</v>
      </c>
      <c r="V3" s="113">
        <v>14.27</v>
      </c>
      <c r="W3" s="113">
        <v>19.309999999999999</v>
      </c>
      <c r="X3" s="113">
        <v>16.71</v>
      </c>
      <c r="Y3" s="113">
        <v>13.28</v>
      </c>
      <c r="Z3" s="113">
        <v>13.21</v>
      </c>
      <c r="AA3" s="113">
        <v>33.54</v>
      </c>
      <c r="AB3" s="113">
        <v>11.08</v>
      </c>
      <c r="AC3" s="113">
        <v>17.59</v>
      </c>
      <c r="AD3" s="113">
        <v>30.68</v>
      </c>
      <c r="AE3" s="113">
        <v>16.559999999999999</v>
      </c>
      <c r="AF3" s="113">
        <v>9.7899999999999991</v>
      </c>
      <c r="AG3" s="113">
        <v>16.54</v>
      </c>
      <c r="AH3" s="108">
        <f t="shared" ref="AH3:AH15" si="1">SUM(C3:AG3)</f>
        <v>288.05000000000007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>
        <v>521</v>
      </c>
      <c r="O4" s="124">
        <v>1269</v>
      </c>
      <c r="P4" s="124">
        <v>1191</v>
      </c>
      <c r="Q4" s="124">
        <v>638</v>
      </c>
      <c r="R4" s="124">
        <v>1268</v>
      </c>
      <c r="S4" s="124">
        <f>969-30</f>
        <v>939</v>
      </c>
      <c r="T4" s="124">
        <f>1150-6</f>
        <v>1144</v>
      </c>
      <c r="U4" s="124">
        <v>932</v>
      </c>
      <c r="V4" s="124">
        <v>1528</v>
      </c>
      <c r="W4" s="124">
        <v>1765</v>
      </c>
      <c r="X4" s="124">
        <v>1272</v>
      </c>
      <c r="Y4" s="124">
        <v>1494</v>
      </c>
      <c r="Z4" s="124">
        <v>1403</v>
      </c>
      <c r="AA4" s="124">
        <v>1791</v>
      </c>
      <c r="AB4" s="124">
        <v>1810</v>
      </c>
      <c r="AC4" s="124">
        <v>2678</v>
      </c>
      <c r="AD4" s="124">
        <v>3391</v>
      </c>
      <c r="AE4" s="124">
        <v>2216</v>
      </c>
      <c r="AF4" s="124">
        <v>1064</v>
      </c>
      <c r="AG4" s="124">
        <v>1728</v>
      </c>
      <c r="AH4" s="108">
        <f t="shared" si="1"/>
        <v>30042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>
        <v>340</v>
      </c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340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>
        <v>17.18</v>
      </c>
      <c r="O6" s="125">
        <v>138.62</v>
      </c>
      <c r="P6" s="125">
        <v>97.13</v>
      </c>
      <c r="Q6" s="125">
        <v>140.22999999999999</v>
      </c>
      <c r="R6" s="125">
        <v>140.49</v>
      </c>
      <c r="S6" s="125">
        <v>82.37</v>
      </c>
      <c r="T6" s="125">
        <v>63.7</v>
      </c>
      <c r="U6" s="125">
        <v>119.57</v>
      </c>
      <c r="V6" s="125">
        <v>151.21</v>
      </c>
      <c r="W6" s="125">
        <v>205.03</v>
      </c>
      <c r="X6" s="125">
        <v>176.55</v>
      </c>
      <c r="Y6" s="125">
        <v>140.5</v>
      </c>
      <c r="Z6" s="125">
        <v>139.75</v>
      </c>
      <c r="AA6" s="125">
        <v>354.7</v>
      </c>
      <c r="AB6" s="125">
        <v>117.44</v>
      </c>
      <c r="AC6" s="125">
        <v>186.35</v>
      </c>
      <c r="AD6" s="125">
        <v>324.77999999999997</v>
      </c>
      <c r="AE6" s="125">
        <v>175.68</v>
      </c>
      <c r="AF6" s="125">
        <v>103.44</v>
      </c>
      <c r="AG6" s="125">
        <v>174.93</v>
      </c>
      <c r="AH6" s="108">
        <f t="shared" si="1"/>
        <v>3049.6499999999992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>
        <v>0.44</v>
      </c>
      <c r="P7" s="125"/>
      <c r="Q7" s="125"/>
      <c r="R7" s="125">
        <v>4.4000000000000004</v>
      </c>
      <c r="S7" s="125"/>
      <c r="T7" s="125"/>
      <c r="U7" s="125">
        <v>1.76</v>
      </c>
      <c r="V7" s="125"/>
      <c r="W7" s="125"/>
      <c r="X7" s="125"/>
      <c r="Y7" s="125">
        <v>2.2000000000000002</v>
      </c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8.8000000000000007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539.79999999999995</v>
      </c>
      <c r="O8" s="433">
        <f t="shared" si="2"/>
        <v>1421.1399999999999</v>
      </c>
      <c r="P8" s="433">
        <f t="shared" si="2"/>
        <v>1297.3400000000001</v>
      </c>
      <c r="Q8" s="433">
        <f t="shared" si="2"/>
        <v>791.47</v>
      </c>
      <c r="R8" s="433">
        <f t="shared" si="2"/>
        <v>1426.18</v>
      </c>
      <c r="S8" s="433">
        <f t="shared" si="2"/>
        <v>1029.1300000000001</v>
      </c>
      <c r="T8" s="433">
        <f t="shared" si="2"/>
        <v>1213.71</v>
      </c>
      <c r="U8" s="433">
        <f t="shared" si="2"/>
        <v>1404.61</v>
      </c>
      <c r="V8" s="433">
        <f t="shared" si="2"/>
        <v>1693.48</v>
      </c>
      <c r="W8" s="433">
        <f t="shared" si="2"/>
        <v>1989.34</v>
      </c>
      <c r="X8" s="433">
        <f t="shared" si="2"/>
        <v>1465.26</v>
      </c>
      <c r="Y8" s="433">
        <f t="shared" si="2"/>
        <v>1649.98</v>
      </c>
      <c r="Z8" s="433">
        <f t="shared" si="2"/>
        <v>1555.96</v>
      </c>
      <c r="AA8" s="433">
        <f t="shared" si="2"/>
        <v>2179.2399999999998</v>
      </c>
      <c r="AB8" s="433">
        <f t="shared" si="2"/>
        <v>1938.52</v>
      </c>
      <c r="AC8" s="433">
        <f t="shared" si="2"/>
        <v>2881.94</v>
      </c>
      <c r="AD8" s="433">
        <f t="shared" si="2"/>
        <v>3746.46</v>
      </c>
      <c r="AE8" s="433">
        <f t="shared" si="2"/>
        <v>2408.2399999999998</v>
      </c>
      <c r="AF8" s="433">
        <f t="shared" si="2"/>
        <v>1177.23</v>
      </c>
      <c r="AG8" s="433">
        <f t="shared" si="2"/>
        <v>1919.47</v>
      </c>
      <c r="AH8" s="432">
        <f t="shared" si="1"/>
        <v>33728.499999999993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>
        <v>16.72</v>
      </c>
      <c r="AD9" s="428">
        <v>18.03</v>
      </c>
      <c r="AE9" s="428">
        <v>13.37</v>
      </c>
      <c r="AF9" s="428">
        <v>12.4</v>
      </c>
      <c r="AG9" s="428">
        <v>9.8699999999999992</v>
      </c>
      <c r="AH9" s="427">
        <f t="shared" si="1"/>
        <v>70.39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>
        <v>2336</v>
      </c>
      <c r="AD10" s="153">
        <v>2095</v>
      </c>
      <c r="AE10" s="153">
        <v>1348</v>
      </c>
      <c r="AF10" s="153">
        <f>1264-14</f>
        <v>1250</v>
      </c>
      <c r="AG10" s="153">
        <v>665</v>
      </c>
      <c r="AH10" s="421">
        <f t="shared" si="1"/>
        <v>7694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>
        <v>176.98</v>
      </c>
      <c r="AD12" s="153">
        <v>190.86</v>
      </c>
      <c r="AE12" s="153">
        <v>141.44</v>
      </c>
      <c r="AF12" s="153">
        <v>131.19999999999999</v>
      </c>
      <c r="AG12" s="153">
        <v>104.34</v>
      </c>
      <c r="AH12" s="421">
        <f t="shared" si="1"/>
        <v>744.82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2529.6999999999998</v>
      </c>
      <c r="AD14" s="422">
        <f t="shared" si="3"/>
        <v>2303.8900000000003</v>
      </c>
      <c r="AE14" s="422">
        <f t="shared" si="3"/>
        <v>1502.81</v>
      </c>
      <c r="AF14" s="422">
        <f t="shared" si="3"/>
        <v>1393.6000000000001</v>
      </c>
      <c r="AG14" s="422">
        <f t="shared" si="3"/>
        <v>779.21</v>
      </c>
      <c r="AH14" s="421">
        <f t="shared" si="1"/>
        <v>8509.2099999999991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539.79999999999995</v>
      </c>
      <c r="O15" s="414">
        <f t="shared" si="4"/>
        <v>1421.1399999999999</v>
      </c>
      <c r="P15" s="414">
        <f t="shared" si="4"/>
        <v>1297.3400000000001</v>
      </c>
      <c r="Q15" s="414">
        <f t="shared" si="4"/>
        <v>791.47</v>
      </c>
      <c r="R15" s="414">
        <f t="shared" si="4"/>
        <v>1426.18</v>
      </c>
      <c r="S15" s="414">
        <f t="shared" si="4"/>
        <v>1029.1300000000001</v>
      </c>
      <c r="T15" s="414">
        <f t="shared" si="4"/>
        <v>1213.71</v>
      </c>
      <c r="U15" s="414">
        <f t="shared" si="4"/>
        <v>1404.61</v>
      </c>
      <c r="V15" s="414">
        <f t="shared" si="4"/>
        <v>1693.48</v>
      </c>
      <c r="W15" s="414">
        <f t="shared" si="4"/>
        <v>1989.34</v>
      </c>
      <c r="X15" s="414">
        <f t="shared" si="4"/>
        <v>1465.26</v>
      </c>
      <c r="Y15" s="414">
        <f t="shared" si="4"/>
        <v>1649.98</v>
      </c>
      <c r="Z15" s="414">
        <f t="shared" si="4"/>
        <v>1555.96</v>
      </c>
      <c r="AA15" s="414">
        <f t="shared" si="4"/>
        <v>2179.2399999999998</v>
      </c>
      <c r="AB15" s="414">
        <f t="shared" si="4"/>
        <v>1938.52</v>
      </c>
      <c r="AC15" s="414">
        <f t="shared" si="4"/>
        <v>5411.6399999999994</v>
      </c>
      <c r="AD15" s="414">
        <f t="shared" si="4"/>
        <v>6050.3499999999995</v>
      </c>
      <c r="AE15" s="414">
        <f t="shared" si="4"/>
        <v>3911.0499999999997</v>
      </c>
      <c r="AF15" s="414">
        <f t="shared" si="4"/>
        <v>2570.83</v>
      </c>
      <c r="AG15" s="414">
        <f t="shared" si="4"/>
        <v>2698.6800000000003</v>
      </c>
      <c r="AH15" s="109">
        <f t="shared" si="1"/>
        <v>42237.710000000006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6" t="s">
        <v>127</v>
      </c>
      <c r="AK17" s="517"/>
      <c r="AL17" s="517"/>
      <c r="AM17" s="518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>
        <v>259.07</v>
      </c>
      <c r="O18" s="437">
        <v>366.81</v>
      </c>
      <c r="P18" s="437">
        <v>407.15</v>
      </c>
      <c r="Q18" s="437">
        <v>243.7</v>
      </c>
      <c r="R18" s="437">
        <v>365.75</v>
      </c>
      <c r="S18" s="437">
        <v>455.81</v>
      </c>
      <c r="T18" s="107">
        <v>446.86</v>
      </c>
      <c r="U18" s="107">
        <v>761.79</v>
      </c>
      <c r="V18" s="107">
        <v>557.27</v>
      </c>
      <c r="W18" s="107">
        <v>788.35</v>
      </c>
      <c r="X18" s="107">
        <v>526.62</v>
      </c>
      <c r="Y18" s="107">
        <v>637.58000000000004</v>
      </c>
      <c r="Z18" s="107">
        <v>615.25</v>
      </c>
      <c r="AA18" s="107">
        <v>780.49</v>
      </c>
      <c r="AB18" s="107">
        <v>648.23</v>
      </c>
      <c r="AC18" s="107">
        <v>697.34</v>
      </c>
      <c r="AD18" s="107">
        <v>730.15</v>
      </c>
      <c r="AE18" s="107">
        <v>487.1</v>
      </c>
      <c r="AF18" s="107">
        <v>271.66000000000003</v>
      </c>
      <c r="AG18" s="493">
        <v>667.22</v>
      </c>
      <c r="AH18" s="419">
        <f t="shared" ref="AH18:AH24" si="5">SUM(C18:AG18)</f>
        <v>10714.199999999999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>
        <v>681.67</v>
      </c>
      <c r="AD19" s="125">
        <v>853.23</v>
      </c>
      <c r="AE19" s="125">
        <v>387.97</v>
      </c>
      <c r="AF19" s="125">
        <v>433.25</v>
      </c>
      <c r="AG19" s="492">
        <v>269.87</v>
      </c>
      <c r="AH19" s="418">
        <f t="shared" si="5"/>
        <v>2625.99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88">
        <v>280.73</v>
      </c>
      <c r="O20" s="488">
        <v>1054.33</v>
      </c>
      <c r="P20" s="488">
        <v>890.19</v>
      </c>
      <c r="Q20" s="488">
        <v>547.78</v>
      </c>
      <c r="R20" s="488">
        <v>1049.5</v>
      </c>
      <c r="S20" s="488">
        <v>573.32000000000005</v>
      </c>
      <c r="T20" s="488">
        <v>766.85</v>
      </c>
      <c r="U20" s="488">
        <v>642.82000000000005</v>
      </c>
      <c r="V20" s="488">
        <v>1136.21</v>
      </c>
      <c r="W20" s="488">
        <v>1200.99</v>
      </c>
      <c r="X20" s="488">
        <v>938.64</v>
      </c>
      <c r="Y20" s="488">
        <v>1012.4</v>
      </c>
      <c r="Z20" s="488">
        <v>940.71</v>
      </c>
      <c r="AA20" s="488">
        <v>1398.75</v>
      </c>
      <c r="AB20" s="488">
        <v>1290.29</v>
      </c>
      <c r="AC20" s="494">
        <v>2184.6</v>
      </c>
      <c r="AD20" s="494">
        <v>3016.31</v>
      </c>
      <c r="AE20" s="494">
        <v>1921.15</v>
      </c>
      <c r="AF20" s="494">
        <v>905.57</v>
      </c>
      <c r="AG20" s="496">
        <v>1252.25</v>
      </c>
      <c r="AH20" s="418">
        <f t="shared" si="5"/>
        <v>23003.39</v>
      </c>
      <c r="AJ20" s="126" t="s">
        <v>60</v>
      </c>
      <c r="AK20" s="127" t="s">
        <v>54</v>
      </c>
      <c r="AL20" s="452">
        <f>SUM(C18:AF19)</f>
        <v>12403.099999999999</v>
      </c>
      <c r="AM20" s="453">
        <f>SUM(AG18:AG19)</f>
        <v>937.09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94">
        <v>1847.78</v>
      </c>
      <c r="AD21" s="494">
        <v>1450.66</v>
      </c>
      <c r="AE21" s="494">
        <v>1114.8499999999999</v>
      </c>
      <c r="AF21" s="494">
        <v>960.35</v>
      </c>
      <c r="AG21" s="496">
        <v>509.34</v>
      </c>
      <c r="AH21" s="418">
        <f t="shared" si="5"/>
        <v>5882.9800000000005</v>
      </c>
      <c r="AJ21" s="129" t="s">
        <v>60</v>
      </c>
      <c r="AK21" s="130" t="s">
        <v>202</v>
      </c>
      <c r="AL21" s="290">
        <f>SUM(C20:AB21)-SUM(C29:AB29)</f>
        <v>13310.999999999998</v>
      </c>
      <c r="AM21" s="291">
        <f>SUM(AC20:AG21)-SUM(AC29:AG29)</f>
        <v>14708.060000000001</v>
      </c>
    </row>
    <row r="22" spans="1:40" ht="15.75" x14ac:dyDescent="0.25">
      <c r="A22" s="368" t="s">
        <v>60</v>
      </c>
      <c r="B22" s="461" t="s">
        <v>204</v>
      </c>
      <c r="C22" s="462"/>
      <c r="D22" s="463"/>
      <c r="E22" s="463"/>
      <c r="F22" s="463"/>
      <c r="G22" s="463"/>
      <c r="H22" s="463"/>
      <c r="I22" s="463"/>
      <c r="J22" s="463"/>
      <c r="K22" s="463"/>
      <c r="L22" s="463"/>
      <c r="M22" s="463"/>
      <c r="N22" s="463"/>
      <c r="O22" s="463"/>
      <c r="P22" s="463"/>
      <c r="Q22" s="463"/>
      <c r="R22" s="463"/>
      <c r="S22" s="463"/>
      <c r="T22" s="153"/>
      <c r="U22" s="153">
        <v>14</v>
      </c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4"/>
      <c r="AH22" s="465"/>
      <c r="AJ22" s="361" t="s">
        <v>60</v>
      </c>
      <c r="AK22" s="362" t="s">
        <v>206</v>
      </c>
      <c r="AL22" s="363">
        <f>SUM(C22:AE23)</f>
        <v>14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59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4">
        <f>SUM(C18:C23)</f>
        <v>0</v>
      </c>
      <c r="D24" s="475">
        <f t="shared" ref="D24:AG24" si="6">SUM(D18:D23)</f>
        <v>0</v>
      </c>
      <c r="E24" s="475">
        <f t="shared" si="6"/>
        <v>0</v>
      </c>
      <c r="F24" s="475">
        <f t="shared" si="6"/>
        <v>0</v>
      </c>
      <c r="G24" s="475">
        <f t="shared" si="6"/>
        <v>0</v>
      </c>
      <c r="H24" s="475">
        <f t="shared" si="6"/>
        <v>0</v>
      </c>
      <c r="I24" s="475">
        <f t="shared" si="6"/>
        <v>0</v>
      </c>
      <c r="J24" s="475">
        <f t="shared" si="6"/>
        <v>0</v>
      </c>
      <c r="K24" s="475">
        <f t="shared" si="6"/>
        <v>0</v>
      </c>
      <c r="L24" s="475">
        <f t="shared" si="6"/>
        <v>0</v>
      </c>
      <c r="M24" s="475">
        <f t="shared" si="6"/>
        <v>0</v>
      </c>
      <c r="N24" s="475">
        <f t="shared" si="6"/>
        <v>539.79999999999995</v>
      </c>
      <c r="O24" s="475">
        <f t="shared" si="6"/>
        <v>1421.1399999999999</v>
      </c>
      <c r="P24" s="475">
        <f t="shared" si="6"/>
        <v>1297.3400000000001</v>
      </c>
      <c r="Q24" s="475">
        <f t="shared" si="6"/>
        <v>791.48</v>
      </c>
      <c r="R24" s="475">
        <f t="shared" si="6"/>
        <v>1415.25</v>
      </c>
      <c r="S24" s="475">
        <f t="shared" si="6"/>
        <v>1029.1300000000001</v>
      </c>
      <c r="T24" s="475">
        <f>SUM(T18:T23)</f>
        <v>1213.71</v>
      </c>
      <c r="U24" s="475">
        <f t="shared" si="6"/>
        <v>1418.6100000000001</v>
      </c>
      <c r="V24" s="475">
        <f t="shared" si="6"/>
        <v>1693.48</v>
      </c>
      <c r="W24" s="475">
        <f t="shared" si="6"/>
        <v>1989.3400000000001</v>
      </c>
      <c r="X24" s="475">
        <f t="shared" si="6"/>
        <v>1465.26</v>
      </c>
      <c r="Y24" s="475">
        <f t="shared" si="6"/>
        <v>1649.98</v>
      </c>
      <c r="Z24" s="475">
        <f t="shared" si="6"/>
        <v>1555.96</v>
      </c>
      <c r="AA24" s="475">
        <f t="shared" si="6"/>
        <v>2179.2399999999998</v>
      </c>
      <c r="AB24" s="475">
        <f t="shared" si="6"/>
        <v>1938.52</v>
      </c>
      <c r="AC24" s="475">
        <f t="shared" si="6"/>
        <v>5411.3899999999994</v>
      </c>
      <c r="AD24" s="475">
        <f t="shared" si="6"/>
        <v>6050.35</v>
      </c>
      <c r="AE24" s="475">
        <f t="shared" si="6"/>
        <v>3911.07</v>
      </c>
      <c r="AF24" s="475">
        <f t="shared" si="6"/>
        <v>2570.83</v>
      </c>
      <c r="AG24" s="476">
        <f t="shared" si="6"/>
        <v>2698.6800000000003</v>
      </c>
      <c r="AH24" s="460">
        <f t="shared" si="5"/>
        <v>42240.560000000005</v>
      </c>
      <c r="AJ24" s="135" t="s">
        <v>84</v>
      </c>
      <c r="AK24" s="136" t="s">
        <v>33</v>
      </c>
      <c r="AL24" s="292">
        <f>SUM(AH26:AH27)</f>
        <v>-2.8500000000003638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5" t="s">
        <v>76</v>
      </c>
      <c r="AK25" s="519"/>
      <c r="AL25" s="520">
        <f>SUM(AL20:AM24)</f>
        <v>41370.400000000001</v>
      </c>
      <c r="AM25" s="521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 t="shared" ref="C26:D26" si="7">SUM(C3:C7)-(C18+C20)</f>
        <v>0</v>
      </c>
      <c r="D26" s="414">
        <f t="shared" si="7"/>
        <v>0</v>
      </c>
      <c r="E26" s="414">
        <f>SUM(E3:E7)-(E18+E20+E22)</f>
        <v>0</v>
      </c>
      <c r="F26" s="414">
        <f t="shared" ref="F26:AG26" si="8">SUM(F3:F7)-(F18+F20+F22)</f>
        <v>0</v>
      </c>
      <c r="G26" s="414">
        <f t="shared" si="8"/>
        <v>0</v>
      </c>
      <c r="H26" s="414">
        <f t="shared" si="8"/>
        <v>0</v>
      </c>
      <c r="I26" s="414">
        <f t="shared" si="8"/>
        <v>0</v>
      </c>
      <c r="J26" s="414">
        <f t="shared" si="8"/>
        <v>0</v>
      </c>
      <c r="K26" s="414">
        <f t="shared" si="8"/>
        <v>0</v>
      </c>
      <c r="L26" s="414">
        <f t="shared" si="8"/>
        <v>0</v>
      </c>
      <c r="M26" s="414">
        <f t="shared" si="8"/>
        <v>0</v>
      </c>
      <c r="N26" s="414">
        <f t="shared" si="8"/>
        <v>0</v>
      </c>
      <c r="O26" s="414">
        <f t="shared" si="8"/>
        <v>0</v>
      </c>
      <c r="P26" s="414">
        <f t="shared" si="8"/>
        <v>0</v>
      </c>
      <c r="Q26" s="414">
        <f t="shared" si="8"/>
        <v>-9.9999999999909051E-3</v>
      </c>
      <c r="R26" s="414">
        <f t="shared" si="8"/>
        <v>10.930000000000064</v>
      </c>
      <c r="S26" s="414">
        <f t="shared" si="8"/>
        <v>0</v>
      </c>
      <c r="T26" s="414">
        <f t="shared" si="8"/>
        <v>0</v>
      </c>
      <c r="U26" s="414">
        <f t="shared" si="8"/>
        <v>-14.000000000000227</v>
      </c>
      <c r="V26" s="414">
        <f t="shared" si="8"/>
        <v>0</v>
      </c>
      <c r="W26" s="414">
        <f t="shared" si="8"/>
        <v>0</v>
      </c>
      <c r="X26" s="414">
        <f t="shared" si="8"/>
        <v>0</v>
      </c>
      <c r="Y26" s="414">
        <f t="shared" si="8"/>
        <v>0</v>
      </c>
      <c r="Z26" s="414">
        <f t="shared" si="8"/>
        <v>0</v>
      </c>
      <c r="AA26" s="414">
        <f t="shared" si="8"/>
        <v>0</v>
      </c>
      <c r="AB26" s="414">
        <f t="shared" si="8"/>
        <v>0</v>
      </c>
      <c r="AC26" s="414">
        <f t="shared" si="8"/>
        <v>0</v>
      </c>
      <c r="AD26" s="414">
        <f t="shared" si="8"/>
        <v>0</v>
      </c>
      <c r="AE26" s="414">
        <f t="shared" si="8"/>
        <v>-1.0000000000218279E-2</v>
      </c>
      <c r="AF26" s="414">
        <f t="shared" si="8"/>
        <v>0</v>
      </c>
      <c r="AG26" s="414">
        <f t="shared" si="8"/>
        <v>0</v>
      </c>
      <c r="AH26" s="110">
        <f>SUM(C26:AG26)</f>
        <v>-3.0900000000003729</v>
      </c>
    </row>
    <row r="27" spans="1:40" ht="16.5" thickBot="1" x14ac:dyDescent="0.3">
      <c r="A27" s="413"/>
      <c r="B27" s="183" t="s">
        <v>184</v>
      </c>
      <c r="C27" s="412">
        <f t="shared" ref="C27:D27" si="9">SUM(C9:C13)-(C19+C21)</f>
        <v>0</v>
      </c>
      <c r="D27" s="412">
        <f t="shared" si="9"/>
        <v>0</v>
      </c>
      <c r="E27" s="412">
        <f>SUM(E9:E13)-(E19+E21+E23)</f>
        <v>0</v>
      </c>
      <c r="F27" s="412">
        <f t="shared" ref="F27:AG27" si="10">SUM(F9:F13)-(F19+F21+F23)</f>
        <v>0</v>
      </c>
      <c r="G27" s="412">
        <f t="shared" si="10"/>
        <v>0</v>
      </c>
      <c r="H27" s="412">
        <f t="shared" si="10"/>
        <v>0</v>
      </c>
      <c r="I27" s="412">
        <f t="shared" si="10"/>
        <v>0</v>
      </c>
      <c r="J27" s="412">
        <f t="shared" si="10"/>
        <v>0</v>
      </c>
      <c r="K27" s="412">
        <f t="shared" si="10"/>
        <v>0</v>
      </c>
      <c r="L27" s="412">
        <f t="shared" si="10"/>
        <v>0</v>
      </c>
      <c r="M27" s="412">
        <f t="shared" si="10"/>
        <v>0</v>
      </c>
      <c r="N27" s="412">
        <f t="shared" si="10"/>
        <v>0</v>
      </c>
      <c r="O27" s="412">
        <f t="shared" si="10"/>
        <v>0</v>
      </c>
      <c r="P27" s="412">
        <f t="shared" si="10"/>
        <v>0</v>
      </c>
      <c r="Q27" s="412">
        <f t="shared" si="10"/>
        <v>0</v>
      </c>
      <c r="R27" s="412">
        <f t="shared" si="10"/>
        <v>0</v>
      </c>
      <c r="S27" s="412">
        <f t="shared" si="10"/>
        <v>0</v>
      </c>
      <c r="T27" s="412">
        <f t="shared" si="10"/>
        <v>0</v>
      </c>
      <c r="U27" s="412">
        <f t="shared" si="10"/>
        <v>0</v>
      </c>
      <c r="V27" s="412">
        <f t="shared" si="10"/>
        <v>0</v>
      </c>
      <c r="W27" s="412">
        <f t="shared" si="10"/>
        <v>0</v>
      </c>
      <c r="X27" s="412">
        <f t="shared" si="10"/>
        <v>0</v>
      </c>
      <c r="Y27" s="412">
        <f t="shared" si="10"/>
        <v>0</v>
      </c>
      <c r="Z27" s="412">
        <f t="shared" si="10"/>
        <v>0</v>
      </c>
      <c r="AA27" s="412">
        <f t="shared" si="10"/>
        <v>0</v>
      </c>
      <c r="AB27" s="412">
        <f t="shared" si="10"/>
        <v>0</v>
      </c>
      <c r="AC27" s="412">
        <f t="shared" si="10"/>
        <v>0.25</v>
      </c>
      <c r="AD27" s="412">
        <f t="shared" si="10"/>
        <v>0</v>
      </c>
      <c r="AE27" s="412">
        <f t="shared" si="10"/>
        <v>-9.9999999999909051E-3</v>
      </c>
      <c r="AF27" s="412">
        <f t="shared" si="10"/>
        <v>0</v>
      </c>
      <c r="AG27" s="412">
        <f t="shared" si="10"/>
        <v>0</v>
      </c>
      <c r="AH27" s="112">
        <f>SUM(C27:AG27)</f>
        <v>0.24000000000000909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87">
        <v>8.42</v>
      </c>
      <c r="O29" s="487">
        <v>31.61</v>
      </c>
      <c r="P29" s="487">
        <v>26.71</v>
      </c>
      <c r="Q29" s="487">
        <v>16.440000000000001</v>
      </c>
      <c r="R29" s="487">
        <v>31.48</v>
      </c>
      <c r="S29" s="487">
        <v>18.100000000000001</v>
      </c>
      <c r="T29" s="487">
        <v>23</v>
      </c>
      <c r="U29" s="487">
        <v>19.28</v>
      </c>
      <c r="V29" s="487">
        <v>34.08</v>
      </c>
      <c r="W29" s="487">
        <v>36.01</v>
      </c>
      <c r="X29" s="487">
        <v>28.14</v>
      </c>
      <c r="Y29" s="487">
        <v>30.37</v>
      </c>
      <c r="Z29" s="487">
        <v>28.22</v>
      </c>
      <c r="AA29" s="487">
        <v>41.94</v>
      </c>
      <c r="AB29" s="487">
        <v>38.71</v>
      </c>
      <c r="AC29" s="495">
        <f>120.42+0.54</f>
        <v>120.96000000000001</v>
      </c>
      <c r="AD29" s="495">
        <v>133.97</v>
      </c>
      <c r="AE29" s="495">
        <v>91.09</v>
      </c>
      <c r="AF29" s="495">
        <v>55.96</v>
      </c>
      <c r="AG29" s="495">
        <v>52.82</v>
      </c>
      <c r="AH29" s="451">
        <f>SUM(C29:AG29)</f>
        <v>867.31000000000017</v>
      </c>
      <c r="AJ29" s="211" t="s">
        <v>203</v>
      </c>
      <c r="AK29" s="212" t="s">
        <v>197</v>
      </c>
      <c r="AL29" s="271">
        <f>SUM(C29:AB29)</f>
        <v>412.51</v>
      </c>
      <c r="AM29" s="272">
        <f>SUM(AC29:AG29)</f>
        <v>454.79999999999995</v>
      </c>
    </row>
    <row r="30" spans="1:40" ht="16.5" thickBot="1" x14ac:dyDescent="0.3">
      <c r="B30" s="60" t="s">
        <v>234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486">
        <f>N20+N21-N29</f>
        <v>272.31</v>
      </c>
      <c r="O30" s="486">
        <f t="shared" ref="O30:AG30" si="11">O20+O21-O29</f>
        <v>1022.7199999999999</v>
      </c>
      <c r="P30" s="486">
        <f t="shared" si="11"/>
        <v>863.48</v>
      </c>
      <c r="Q30" s="486">
        <f t="shared" si="11"/>
        <v>531.33999999999992</v>
      </c>
      <c r="R30" s="486">
        <f t="shared" si="11"/>
        <v>1018.02</v>
      </c>
      <c r="S30" s="486">
        <f t="shared" si="11"/>
        <v>555.22</v>
      </c>
      <c r="T30" s="486">
        <f t="shared" si="11"/>
        <v>743.85</v>
      </c>
      <c r="U30" s="486">
        <f t="shared" si="11"/>
        <v>623.54000000000008</v>
      </c>
      <c r="V30" s="486">
        <f t="shared" si="11"/>
        <v>1102.1300000000001</v>
      </c>
      <c r="W30" s="486">
        <f t="shared" si="11"/>
        <v>1164.98</v>
      </c>
      <c r="X30" s="486">
        <f t="shared" si="11"/>
        <v>910.5</v>
      </c>
      <c r="Y30" s="486">
        <f t="shared" si="11"/>
        <v>982.03</v>
      </c>
      <c r="Z30" s="486">
        <f t="shared" si="11"/>
        <v>912.49</v>
      </c>
      <c r="AA30" s="486">
        <f t="shared" si="11"/>
        <v>1356.81</v>
      </c>
      <c r="AB30" s="486">
        <f t="shared" si="11"/>
        <v>1251.58</v>
      </c>
      <c r="AC30" s="486">
        <f t="shared" si="11"/>
        <v>3911.42</v>
      </c>
      <c r="AD30" s="486">
        <f t="shared" si="11"/>
        <v>4333</v>
      </c>
      <c r="AE30" s="486">
        <f t="shared" si="11"/>
        <v>2944.91</v>
      </c>
      <c r="AF30" s="486">
        <f t="shared" si="11"/>
        <v>1809.96</v>
      </c>
      <c r="AG30" s="486">
        <f t="shared" si="11"/>
        <v>1708.77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4" t="s">
        <v>57</v>
      </c>
      <c r="AK31" s="515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v>51</v>
      </c>
      <c r="O32" s="144">
        <v>146</v>
      </c>
      <c r="P32" s="144">
        <v>116</v>
      </c>
      <c r="Q32" s="144">
        <v>57</v>
      </c>
      <c r="R32" s="144">
        <v>132</v>
      </c>
      <c r="S32" s="144">
        <v>90</v>
      </c>
      <c r="T32" s="144">
        <v>129</v>
      </c>
      <c r="U32" s="144">
        <v>94</v>
      </c>
      <c r="V32" s="144">
        <v>155</v>
      </c>
      <c r="W32" s="144">
        <v>192</v>
      </c>
      <c r="X32" s="144">
        <v>123</v>
      </c>
      <c r="Y32" s="144">
        <v>143</v>
      </c>
      <c r="Z32" s="144">
        <v>148</v>
      </c>
      <c r="AA32" s="144">
        <v>178</v>
      </c>
      <c r="AB32" s="144">
        <v>194</v>
      </c>
      <c r="AC32" s="144">
        <v>287</v>
      </c>
      <c r="AD32" s="144">
        <v>382</v>
      </c>
      <c r="AE32" s="144">
        <v>236</v>
      </c>
      <c r="AF32" s="144">
        <v>107</v>
      </c>
      <c r="AG32" s="144">
        <v>162</v>
      </c>
      <c r="AH32" s="411">
        <f t="shared" ref="AH32:AH44" si="12">SUM(C32:AG32)</f>
        <v>3122</v>
      </c>
      <c r="AJ32" s="257">
        <f>AH32+AH39</f>
        <v>3924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v>4</v>
      </c>
      <c r="O33" s="144">
        <v>29</v>
      </c>
      <c r="P33" s="144">
        <v>23</v>
      </c>
      <c r="Q33" s="144">
        <v>9</v>
      </c>
      <c r="R33" s="144">
        <v>10</v>
      </c>
      <c r="S33" s="144">
        <v>9</v>
      </c>
      <c r="T33" s="144">
        <v>11</v>
      </c>
      <c r="U33" s="144">
        <v>8</v>
      </c>
      <c r="V33" s="144">
        <v>25</v>
      </c>
      <c r="W33" s="144">
        <v>23</v>
      </c>
      <c r="X33" s="144">
        <v>21</v>
      </c>
      <c r="Y33" s="144">
        <v>16</v>
      </c>
      <c r="Z33" s="144">
        <v>17</v>
      </c>
      <c r="AA33" s="144">
        <v>31</v>
      </c>
      <c r="AB33" s="144">
        <v>34</v>
      </c>
      <c r="AC33" s="144">
        <v>87</v>
      </c>
      <c r="AD33" s="144">
        <v>110</v>
      </c>
      <c r="AE33" s="144">
        <v>84</v>
      </c>
      <c r="AF33" s="144">
        <v>33</v>
      </c>
      <c r="AG33" s="144">
        <v>84</v>
      </c>
      <c r="AH33" s="410">
        <f t="shared" si="12"/>
        <v>668</v>
      </c>
      <c r="AJ33" s="257">
        <f t="shared" ref="AJ33:AJ37" si="13">AH33+AH40</f>
        <v>925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v>2</v>
      </c>
      <c r="O34" s="144">
        <v>6</v>
      </c>
      <c r="P34" s="144">
        <f>'[1]TEMP Summary'!$T$22</f>
        <v>0</v>
      </c>
      <c r="Q34" s="144">
        <v>1</v>
      </c>
      <c r="R34" s="144">
        <v>6</v>
      </c>
      <c r="S34" s="144">
        <v>1</v>
      </c>
      <c r="T34" s="144">
        <v>1</v>
      </c>
      <c r="U34" s="144">
        <f>'[1]TEMP Summary'!$T$22</f>
        <v>0</v>
      </c>
      <c r="V34" s="144">
        <v>3</v>
      </c>
      <c r="W34" s="144">
        <v>1</v>
      </c>
      <c r="X34" s="144">
        <v>2</v>
      </c>
      <c r="Y34" s="144">
        <v>2</v>
      </c>
      <c r="Z34" s="144">
        <f>'[1]TEMP Summary'!$T$22</f>
        <v>0</v>
      </c>
      <c r="AA34" s="144">
        <v>4</v>
      </c>
      <c r="AB34" s="144">
        <f>'[1]TEMP Summary'!$T$22</f>
        <v>0</v>
      </c>
      <c r="AC34" s="144">
        <v>9</v>
      </c>
      <c r="AD34" s="144">
        <v>7</v>
      </c>
      <c r="AE34" s="144">
        <v>8</v>
      </c>
      <c r="AF34" s="144">
        <v>1</v>
      </c>
      <c r="AG34" s="144">
        <v>5</v>
      </c>
      <c r="AH34" s="410">
        <f t="shared" si="12"/>
        <v>59</v>
      </c>
      <c r="AJ34" s="257">
        <f t="shared" si="13"/>
        <v>84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/>
      <c r="Q35" s="144">
        <v>16</v>
      </c>
      <c r="R35" s="144">
        <f>'[1]TEMP Summary'!$T$22</f>
        <v>0</v>
      </c>
      <c r="S35" s="144">
        <v>0</v>
      </c>
      <c r="T35" s="144"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v>19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2"/>
        <v>35</v>
      </c>
      <c r="AJ35" s="257">
        <f t="shared" si="13"/>
        <v>50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v>24</v>
      </c>
      <c r="O36" s="144">
        <v>17</v>
      </c>
      <c r="P36" s="144">
        <v>44</v>
      </c>
      <c r="Q36" s="144">
        <v>19</v>
      </c>
      <c r="R36" s="144">
        <v>49</v>
      </c>
      <c r="S36" s="144">
        <f>49-5</f>
        <v>44</v>
      </c>
      <c r="T36" s="144">
        <f>32-1</f>
        <v>31</v>
      </c>
      <c r="U36" s="144">
        <v>39</v>
      </c>
      <c r="V36" s="144">
        <v>53</v>
      </c>
      <c r="W36" s="144">
        <v>51</v>
      </c>
      <c r="X36" s="144">
        <v>51</v>
      </c>
      <c r="Y36" s="144">
        <v>53</v>
      </c>
      <c r="Z36" s="144">
        <v>47</v>
      </c>
      <c r="AA36" s="144">
        <v>65</v>
      </c>
      <c r="AB36" s="144">
        <v>47</v>
      </c>
      <c r="AC36" s="144">
        <v>39</v>
      </c>
      <c r="AD36" s="144">
        <v>32</v>
      </c>
      <c r="AE36" s="144">
        <v>24</v>
      </c>
      <c r="AF36" s="144">
        <v>25</v>
      </c>
      <c r="AG36" s="144">
        <v>29</v>
      </c>
      <c r="AH36" s="410">
        <f t="shared" si="12"/>
        <v>783</v>
      </c>
      <c r="AJ36" s="257">
        <f t="shared" si="13"/>
        <v>903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v>7</v>
      </c>
      <c r="O37" s="144">
        <v>3</v>
      </c>
      <c r="P37" s="144">
        <v>5</v>
      </c>
      <c r="Q37" s="144">
        <v>2</v>
      </c>
      <c r="R37" s="144">
        <v>4</v>
      </c>
      <c r="S37" s="144">
        <v>11</v>
      </c>
      <c r="T37" s="144">
        <v>4</v>
      </c>
      <c r="U37" s="144">
        <v>5</v>
      </c>
      <c r="V37" s="144">
        <v>9</v>
      </c>
      <c r="W37" s="144">
        <v>15</v>
      </c>
      <c r="X37" s="144">
        <v>7</v>
      </c>
      <c r="Y37" s="144">
        <v>5</v>
      </c>
      <c r="Z37" s="144">
        <v>10</v>
      </c>
      <c r="AA37" s="144">
        <v>11</v>
      </c>
      <c r="AB37" s="144">
        <v>9</v>
      </c>
      <c r="AC37" s="144">
        <v>9</v>
      </c>
      <c r="AD37" s="144">
        <v>5</v>
      </c>
      <c r="AE37" s="144">
        <v>4</v>
      </c>
      <c r="AF37" s="144">
        <f>'[1]TEMP Summary'!$T$22</f>
        <v>0</v>
      </c>
      <c r="AG37" s="144">
        <v>7</v>
      </c>
      <c r="AH37" s="410">
        <f t="shared" si="12"/>
        <v>132</v>
      </c>
      <c r="AJ37" s="257">
        <f t="shared" si="13"/>
        <v>158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4">SUM(C32:C37)</f>
        <v>0</v>
      </c>
      <c r="D38" s="442">
        <f t="shared" si="14"/>
        <v>0</v>
      </c>
      <c r="E38" s="442">
        <f t="shared" si="14"/>
        <v>0</v>
      </c>
      <c r="F38" s="442">
        <f t="shared" si="14"/>
        <v>0</v>
      </c>
      <c r="G38" s="442">
        <f t="shared" si="14"/>
        <v>0</v>
      </c>
      <c r="H38" s="442">
        <f t="shared" si="14"/>
        <v>0</v>
      </c>
      <c r="I38" s="442">
        <f t="shared" si="14"/>
        <v>0</v>
      </c>
      <c r="J38" s="442">
        <f t="shared" si="14"/>
        <v>0</v>
      </c>
      <c r="K38" s="442">
        <f t="shared" si="14"/>
        <v>0</v>
      </c>
      <c r="L38" s="442">
        <f t="shared" si="14"/>
        <v>0</v>
      </c>
      <c r="M38" s="442">
        <f t="shared" si="14"/>
        <v>0</v>
      </c>
      <c r="N38" s="442">
        <f t="shared" si="14"/>
        <v>88</v>
      </c>
      <c r="O38" s="442">
        <f t="shared" si="14"/>
        <v>201</v>
      </c>
      <c r="P38" s="442">
        <f t="shared" si="14"/>
        <v>188</v>
      </c>
      <c r="Q38" s="442">
        <f t="shared" si="14"/>
        <v>104</v>
      </c>
      <c r="R38" s="442">
        <f t="shared" si="14"/>
        <v>201</v>
      </c>
      <c r="S38" s="442">
        <f t="shared" si="14"/>
        <v>155</v>
      </c>
      <c r="T38" s="442">
        <f t="shared" si="14"/>
        <v>176</v>
      </c>
      <c r="U38" s="442">
        <f t="shared" si="14"/>
        <v>146</v>
      </c>
      <c r="V38" s="442">
        <f t="shared" si="14"/>
        <v>245</v>
      </c>
      <c r="W38" s="442">
        <f t="shared" si="14"/>
        <v>282</v>
      </c>
      <c r="X38" s="442">
        <f t="shared" si="14"/>
        <v>204</v>
      </c>
      <c r="Y38" s="442">
        <f t="shared" si="14"/>
        <v>238</v>
      </c>
      <c r="Z38" s="442">
        <f t="shared" si="14"/>
        <v>222</v>
      </c>
      <c r="AA38" s="442">
        <f t="shared" si="14"/>
        <v>289</v>
      </c>
      <c r="AB38" s="442">
        <f t="shared" si="14"/>
        <v>284</v>
      </c>
      <c r="AC38" s="442">
        <f t="shared" si="14"/>
        <v>431</v>
      </c>
      <c r="AD38" s="442">
        <f t="shared" si="14"/>
        <v>536</v>
      </c>
      <c r="AE38" s="442">
        <f t="shared" si="14"/>
        <v>356</v>
      </c>
      <c r="AF38" s="442">
        <f t="shared" si="14"/>
        <v>166</v>
      </c>
      <c r="AG38" s="443">
        <f t="shared" si="14"/>
        <v>287</v>
      </c>
      <c r="AH38" s="409">
        <f>SUM(C38:AG38)</f>
        <v>4799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548-AC32</f>
        <v>261</v>
      </c>
      <c r="AD39" s="140">
        <f>593-AD32</f>
        <v>211</v>
      </c>
      <c r="AE39" s="140">
        <f>370-AE32</f>
        <v>134</v>
      </c>
      <c r="AF39" s="140">
        <f>239-AF32-2</f>
        <v>130</v>
      </c>
      <c r="AG39" s="141">
        <f>228-AG32</f>
        <v>66</v>
      </c>
      <c r="AH39" s="142">
        <f t="shared" si="12"/>
        <v>802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160-AC33</f>
        <v>73</v>
      </c>
      <c r="AD40" s="144">
        <f>179-AD33</f>
        <v>69</v>
      </c>
      <c r="AE40" s="144">
        <f>142-AE33</f>
        <v>58</v>
      </c>
      <c r="AF40" s="144">
        <f>71-AF33</f>
        <v>38</v>
      </c>
      <c r="AG40" s="145">
        <f>103-AG33</f>
        <v>19</v>
      </c>
      <c r="AH40" s="142">
        <f t="shared" si="12"/>
        <v>257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18-AC34</f>
        <v>9</v>
      </c>
      <c r="AD41" s="144">
        <f>14-AD34</f>
        <v>7</v>
      </c>
      <c r="AE41" s="144">
        <f>15-AE34</f>
        <v>7</v>
      </c>
      <c r="AF41" s="144">
        <f>3-AF34</f>
        <v>2</v>
      </c>
      <c r="AG41" s="145">
        <f>'[1]TEMP Summary'!$T$22</f>
        <v>0</v>
      </c>
      <c r="AH41" s="142">
        <f t="shared" si="12"/>
        <v>25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v>15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2"/>
        <v>15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63-AC36</f>
        <v>24</v>
      </c>
      <c r="AD43" s="144">
        <f>65-AD36</f>
        <v>33</v>
      </c>
      <c r="AE43" s="144">
        <f>44-AE36</f>
        <v>20</v>
      </c>
      <c r="AF43" s="144">
        <f>50-AF36</f>
        <v>25</v>
      </c>
      <c r="AG43" s="145">
        <f>47-AG36</f>
        <v>18</v>
      </c>
      <c r="AH43" s="142">
        <f t="shared" si="12"/>
        <v>120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11-AC37</f>
        <v>2</v>
      </c>
      <c r="AD44" s="144">
        <f>11-AD37</f>
        <v>6</v>
      </c>
      <c r="AE44" s="144">
        <f>8-AE37</f>
        <v>4</v>
      </c>
      <c r="AF44" s="144">
        <v>8</v>
      </c>
      <c r="AG44" s="145">
        <f>13-AG37</f>
        <v>6</v>
      </c>
      <c r="AH44" s="142">
        <f t="shared" si="12"/>
        <v>26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5">SUM(C39:C44)</f>
        <v>0</v>
      </c>
      <c r="D45" s="441">
        <f t="shared" si="15"/>
        <v>0</v>
      </c>
      <c r="E45" s="441">
        <f t="shared" si="15"/>
        <v>0</v>
      </c>
      <c r="F45" s="441">
        <f t="shared" si="15"/>
        <v>0</v>
      </c>
      <c r="G45" s="441">
        <f t="shared" si="15"/>
        <v>0</v>
      </c>
      <c r="H45" s="441">
        <f t="shared" si="15"/>
        <v>0</v>
      </c>
      <c r="I45" s="441">
        <f t="shared" si="15"/>
        <v>0</v>
      </c>
      <c r="J45" s="441">
        <f t="shared" si="15"/>
        <v>0</v>
      </c>
      <c r="K45" s="441">
        <f t="shared" si="15"/>
        <v>0</v>
      </c>
      <c r="L45" s="441">
        <f t="shared" si="15"/>
        <v>0</v>
      </c>
      <c r="M45" s="441">
        <f t="shared" si="15"/>
        <v>0</v>
      </c>
      <c r="N45" s="441">
        <f t="shared" si="15"/>
        <v>0</v>
      </c>
      <c r="O45" s="441">
        <f t="shared" si="15"/>
        <v>0</v>
      </c>
      <c r="P45" s="441">
        <f t="shared" si="15"/>
        <v>0</v>
      </c>
      <c r="Q45" s="441">
        <f t="shared" si="15"/>
        <v>0</v>
      </c>
      <c r="R45" s="441">
        <f t="shared" si="15"/>
        <v>0</v>
      </c>
      <c r="S45" s="441">
        <f t="shared" si="15"/>
        <v>0</v>
      </c>
      <c r="T45" s="441">
        <f t="shared" si="15"/>
        <v>0</v>
      </c>
      <c r="U45" s="441">
        <f t="shared" si="15"/>
        <v>0</v>
      </c>
      <c r="V45" s="441">
        <f t="shared" si="15"/>
        <v>0</v>
      </c>
      <c r="W45" s="441">
        <f t="shared" si="15"/>
        <v>0</v>
      </c>
      <c r="X45" s="441">
        <f t="shared" si="15"/>
        <v>0</v>
      </c>
      <c r="Y45" s="441">
        <f t="shared" si="15"/>
        <v>0</v>
      </c>
      <c r="Z45" s="441">
        <f t="shared" si="15"/>
        <v>0</v>
      </c>
      <c r="AA45" s="441">
        <f t="shared" si="15"/>
        <v>0</v>
      </c>
      <c r="AB45" s="441">
        <f t="shared" si="15"/>
        <v>0</v>
      </c>
      <c r="AC45" s="441">
        <f t="shared" si="15"/>
        <v>369</v>
      </c>
      <c r="AD45" s="441">
        <f t="shared" si="15"/>
        <v>341</v>
      </c>
      <c r="AE45" s="441">
        <f t="shared" si="15"/>
        <v>223</v>
      </c>
      <c r="AF45" s="441">
        <f t="shared" si="15"/>
        <v>203</v>
      </c>
      <c r="AG45" s="443">
        <f t="shared" si="15"/>
        <v>109</v>
      </c>
      <c r="AH45" s="407">
        <f>SUM(C45:AG45)</f>
        <v>1245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6">SUM(C32:C37,C39:C44)</f>
        <v>0</v>
      </c>
      <c r="D46" s="147">
        <f t="shared" si="16"/>
        <v>0</v>
      </c>
      <c r="E46" s="147">
        <f t="shared" si="16"/>
        <v>0</v>
      </c>
      <c r="F46" s="147">
        <f t="shared" si="16"/>
        <v>0</v>
      </c>
      <c r="G46" s="147">
        <f t="shared" si="16"/>
        <v>0</v>
      </c>
      <c r="H46" s="147">
        <f t="shared" si="16"/>
        <v>0</v>
      </c>
      <c r="I46" s="147">
        <f t="shared" si="16"/>
        <v>0</v>
      </c>
      <c r="J46" s="147">
        <f t="shared" si="16"/>
        <v>0</v>
      </c>
      <c r="K46" s="147">
        <f t="shared" si="16"/>
        <v>0</v>
      </c>
      <c r="L46" s="147">
        <f t="shared" si="16"/>
        <v>0</v>
      </c>
      <c r="M46" s="147">
        <f t="shared" si="16"/>
        <v>0</v>
      </c>
      <c r="N46" s="147">
        <f t="shared" si="16"/>
        <v>88</v>
      </c>
      <c r="O46" s="147">
        <f t="shared" si="16"/>
        <v>201</v>
      </c>
      <c r="P46" s="147">
        <f t="shared" si="16"/>
        <v>188</v>
      </c>
      <c r="Q46" s="147">
        <f t="shared" si="16"/>
        <v>104</v>
      </c>
      <c r="R46" s="147">
        <f t="shared" si="16"/>
        <v>201</v>
      </c>
      <c r="S46" s="147">
        <f t="shared" si="16"/>
        <v>155</v>
      </c>
      <c r="T46" s="147">
        <f t="shared" si="16"/>
        <v>176</v>
      </c>
      <c r="U46" s="147">
        <f t="shared" si="16"/>
        <v>146</v>
      </c>
      <c r="V46" s="147">
        <f t="shared" si="16"/>
        <v>245</v>
      </c>
      <c r="W46" s="147">
        <f t="shared" si="16"/>
        <v>282</v>
      </c>
      <c r="X46" s="147">
        <f t="shared" si="16"/>
        <v>204</v>
      </c>
      <c r="Y46" s="147">
        <f t="shared" si="16"/>
        <v>238</v>
      </c>
      <c r="Z46" s="147">
        <f t="shared" si="16"/>
        <v>222</v>
      </c>
      <c r="AA46" s="147">
        <f t="shared" si="16"/>
        <v>289</v>
      </c>
      <c r="AB46" s="147">
        <f t="shared" si="16"/>
        <v>284</v>
      </c>
      <c r="AC46" s="147">
        <f t="shared" si="16"/>
        <v>800</v>
      </c>
      <c r="AD46" s="147">
        <f t="shared" si="16"/>
        <v>877</v>
      </c>
      <c r="AE46" s="147">
        <f t="shared" si="16"/>
        <v>579</v>
      </c>
      <c r="AF46" s="147">
        <f t="shared" si="16"/>
        <v>369</v>
      </c>
      <c r="AG46" s="262">
        <f t="shared" si="16"/>
        <v>396</v>
      </c>
      <c r="AH46" s="148">
        <f>SUM(AH32:AH37,AH39:AH44)</f>
        <v>6044</v>
      </c>
      <c r="AJ46" s="260">
        <f>AH46</f>
        <v>6044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H21" sqref="AH21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May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45047</v>
      </c>
      <c r="D2" s="106">
        <f>C2+1</f>
        <v>45048</v>
      </c>
      <c r="E2" s="106">
        <f>D2+1</f>
        <v>45049</v>
      </c>
      <c r="F2" s="106">
        <f t="shared" ref="F2:AG2" si="0">E2+1</f>
        <v>45050</v>
      </c>
      <c r="G2" s="106">
        <f t="shared" si="0"/>
        <v>45051</v>
      </c>
      <c r="H2" s="106">
        <f t="shared" si="0"/>
        <v>45052</v>
      </c>
      <c r="I2" s="106">
        <f t="shared" si="0"/>
        <v>45053</v>
      </c>
      <c r="J2" s="106">
        <f t="shared" si="0"/>
        <v>45054</v>
      </c>
      <c r="K2" s="106">
        <f t="shared" si="0"/>
        <v>45055</v>
      </c>
      <c r="L2" s="106">
        <f t="shared" si="0"/>
        <v>45056</v>
      </c>
      <c r="M2" s="106">
        <f t="shared" si="0"/>
        <v>45057</v>
      </c>
      <c r="N2" s="106">
        <f t="shared" si="0"/>
        <v>45058</v>
      </c>
      <c r="O2" s="106">
        <f t="shared" si="0"/>
        <v>45059</v>
      </c>
      <c r="P2" s="106">
        <f t="shared" si="0"/>
        <v>45060</v>
      </c>
      <c r="Q2" s="106">
        <f t="shared" si="0"/>
        <v>45061</v>
      </c>
      <c r="R2" s="106">
        <f t="shared" si="0"/>
        <v>45062</v>
      </c>
      <c r="S2" s="106">
        <f t="shared" si="0"/>
        <v>45063</v>
      </c>
      <c r="T2" s="106">
        <f t="shared" si="0"/>
        <v>45064</v>
      </c>
      <c r="U2" s="106">
        <f t="shared" si="0"/>
        <v>45065</v>
      </c>
      <c r="V2" s="106">
        <f t="shared" si="0"/>
        <v>45066</v>
      </c>
      <c r="W2" s="106">
        <f t="shared" si="0"/>
        <v>45067</v>
      </c>
      <c r="X2" s="106">
        <f t="shared" si="0"/>
        <v>45068</v>
      </c>
      <c r="Y2" s="106">
        <f t="shared" si="0"/>
        <v>45069</v>
      </c>
      <c r="Z2" s="106">
        <f t="shared" si="0"/>
        <v>45070</v>
      </c>
      <c r="AA2" s="106">
        <f t="shared" si="0"/>
        <v>45071</v>
      </c>
      <c r="AB2" s="106">
        <f t="shared" si="0"/>
        <v>45072</v>
      </c>
      <c r="AC2" s="106">
        <f t="shared" si="0"/>
        <v>45073</v>
      </c>
      <c r="AD2" s="106">
        <f t="shared" si="0"/>
        <v>45074</v>
      </c>
      <c r="AE2" s="106">
        <f t="shared" si="0"/>
        <v>45075</v>
      </c>
      <c r="AF2" s="106">
        <f t="shared" si="0"/>
        <v>45076</v>
      </c>
      <c r="AG2" s="106">
        <f t="shared" si="0"/>
        <v>45077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>
        <v>12.99</v>
      </c>
      <c r="E3" s="185">
        <v>0.09</v>
      </c>
      <c r="F3" s="185">
        <v>10.39</v>
      </c>
      <c r="G3" s="185">
        <v>0.71</v>
      </c>
      <c r="H3" s="185">
        <v>3.68</v>
      </c>
      <c r="I3" s="185">
        <v>4.91</v>
      </c>
      <c r="J3" s="185"/>
      <c r="K3" s="185">
        <v>2.2599999999999998</v>
      </c>
      <c r="L3" s="185">
        <v>4.82</v>
      </c>
      <c r="M3" s="185">
        <v>0.19</v>
      </c>
      <c r="N3" s="185">
        <v>4.71</v>
      </c>
      <c r="O3" s="185">
        <v>3.41</v>
      </c>
      <c r="P3" s="185">
        <v>3.27</v>
      </c>
      <c r="Q3" s="185">
        <v>0.24</v>
      </c>
      <c r="R3" s="185">
        <v>0.55000000000000004</v>
      </c>
      <c r="S3" s="185">
        <v>8.26</v>
      </c>
      <c r="T3" s="185">
        <v>1.03</v>
      </c>
      <c r="U3" s="185">
        <v>5.1100000000000003</v>
      </c>
      <c r="V3" s="185">
        <v>20.75</v>
      </c>
      <c r="W3" s="185">
        <v>0.09</v>
      </c>
      <c r="X3" s="185">
        <v>5.47</v>
      </c>
      <c r="Y3" s="185">
        <v>3.97</v>
      </c>
      <c r="Z3" s="185">
        <v>9.5399999999999991</v>
      </c>
      <c r="AA3" s="185">
        <v>1.99</v>
      </c>
      <c r="AB3" s="185">
        <v>7.67</v>
      </c>
      <c r="AC3" s="185">
        <v>0.56999999999999995</v>
      </c>
      <c r="AD3" s="185">
        <v>6.81</v>
      </c>
      <c r="AE3" s="185">
        <v>9.25</v>
      </c>
      <c r="AF3" s="185">
        <v>28.86</v>
      </c>
      <c r="AG3" s="185">
        <v>-0.01</v>
      </c>
      <c r="AH3" s="108">
        <f>SUM(C3:AG3)</f>
        <v>161.57999999999998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/>
      <c r="D4" s="72">
        <v>137.4</v>
      </c>
      <c r="E4" s="71">
        <v>1</v>
      </c>
      <c r="F4" s="71">
        <v>109.88</v>
      </c>
      <c r="G4" s="71">
        <v>7.5</v>
      </c>
      <c r="H4" s="71">
        <v>38.9</v>
      </c>
      <c r="I4" s="71">
        <v>52</v>
      </c>
      <c r="J4" s="71"/>
      <c r="K4" s="71">
        <v>23.95</v>
      </c>
      <c r="L4" s="71">
        <v>51</v>
      </c>
      <c r="M4" s="71">
        <v>2</v>
      </c>
      <c r="N4" s="71">
        <v>49.93</v>
      </c>
      <c r="O4" s="71">
        <v>35.99</v>
      </c>
      <c r="P4" s="71">
        <v>34.5</v>
      </c>
      <c r="Q4" s="71">
        <v>2.5</v>
      </c>
      <c r="R4" s="71">
        <v>6</v>
      </c>
      <c r="S4" s="71">
        <v>87.45</v>
      </c>
      <c r="T4" s="71">
        <v>10.95</v>
      </c>
      <c r="U4" s="71">
        <v>54</v>
      </c>
      <c r="V4" s="71">
        <v>219.96</v>
      </c>
      <c r="W4" s="71">
        <v>1</v>
      </c>
      <c r="X4" s="71">
        <v>57.95</v>
      </c>
      <c r="Y4" s="71">
        <v>67.25</v>
      </c>
      <c r="Z4" s="71">
        <v>100.94</v>
      </c>
      <c r="AA4" s="71">
        <v>21</v>
      </c>
      <c r="AB4" s="71">
        <v>80.989999999999995</v>
      </c>
      <c r="AC4" s="71">
        <v>5.99</v>
      </c>
      <c r="AD4" s="71">
        <v>71.94</v>
      </c>
      <c r="AE4" s="71">
        <v>173.61</v>
      </c>
      <c r="AF4" s="71">
        <v>305.36</v>
      </c>
      <c r="AG4" s="71">
        <v>25.19</v>
      </c>
      <c r="AH4" s="108">
        <f t="shared" ref="AH4" si="1">SUM(C4:AG4)</f>
        <v>1836.1300000000006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0</v>
      </c>
      <c r="D5" s="107">
        <f t="shared" si="2"/>
        <v>150.39000000000001</v>
      </c>
      <c r="E5" s="107">
        <f t="shared" si="2"/>
        <v>1.0900000000000001</v>
      </c>
      <c r="F5" s="107">
        <f t="shared" si="2"/>
        <v>120.27</v>
      </c>
      <c r="G5" s="107">
        <f t="shared" si="2"/>
        <v>8.2100000000000009</v>
      </c>
      <c r="H5" s="107">
        <f t="shared" si="2"/>
        <v>42.58</v>
      </c>
      <c r="I5" s="107">
        <f t="shared" si="2"/>
        <v>56.91</v>
      </c>
      <c r="J5" s="107">
        <f t="shared" si="2"/>
        <v>0</v>
      </c>
      <c r="K5" s="107">
        <f t="shared" si="2"/>
        <v>26.21</v>
      </c>
      <c r="L5" s="107">
        <f t="shared" si="2"/>
        <v>55.82</v>
      </c>
      <c r="M5" s="107">
        <f t="shared" si="2"/>
        <v>2.19</v>
      </c>
      <c r="N5" s="107">
        <f t="shared" si="2"/>
        <v>54.64</v>
      </c>
      <c r="O5" s="107">
        <f t="shared" si="2"/>
        <v>39.400000000000006</v>
      </c>
      <c r="P5" s="107">
        <f t="shared" si="2"/>
        <v>37.770000000000003</v>
      </c>
      <c r="Q5" s="107">
        <f t="shared" si="2"/>
        <v>2.74</v>
      </c>
      <c r="R5" s="107">
        <f t="shared" si="2"/>
        <v>6.55</v>
      </c>
      <c r="S5" s="107">
        <f t="shared" si="2"/>
        <v>95.710000000000008</v>
      </c>
      <c r="T5" s="107">
        <f t="shared" si="2"/>
        <v>11.979999999999999</v>
      </c>
      <c r="U5" s="107">
        <f t="shared" si="2"/>
        <v>59.11</v>
      </c>
      <c r="V5" s="107">
        <f t="shared" si="2"/>
        <v>240.71</v>
      </c>
      <c r="W5" s="107">
        <f t="shared" si="2"/>
        <v>1.0900000000000001</v>
      </c>
      <c r="X5" s="107">
        <f t="shared" si="2"/>
        <v>63.42</v>
      </c>
      <c r="Y5" s="107">
        <f t="shared" si="2"/>
        <v>71.22</v>
      </c>
      <c r="Z5" s="107">
        <f t="shared" si="2"/>
        <v>110.47999999999999</v>
      </c>
      <c r="AA5" s="107">
        <f t="shared" si="2"/>
        <v>22.99</v>
      </c>
      <c r="AB5" s="107">
        <f t="shared" si="2"/>
        <v>88.66</v>
      </c>
      <c r="AC5" s="107">
        <f t="shared" si="2"/>
        <v>6.5600000000000005</v>
      </c>
      <c r="AD5" s="107">
        <f t="shared" si="2"/>
        <v>78.75</v>
      </c>
      <c r="AE5" s="107">
        <f t="shared" si="2"/>
        <v>182.86</v>
      </c>
      <c r="AF5" s="107">
        <f t="shared" si="2"/>
        <v>334.22</v>
      </c>
      <c r="AG5" s="107">
        <f t="shared" si="2"/>
        <v>25.18</v>
      </c>
      <c r="AH5" s="109">
        <f>SUM(C3:AG4)</f>
        <v>1997.7100000000005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2"/>
      <c r="D7" s="392"/>
      <c r="E7" s="392">
        <v>1.0900000000000001</v>
      </c>
      <c r="F7" s="392">
        <v>86.94</v>
      </c>
      <c r="G7" s="392">
        <v>8.2100000000000009</v>
      </c>
      <c r="H7" s="392">
        <v>19.59</v>
      </c>
      <c r="I7" s="392"/>
      <c r="J7" s="392"/>
      <c r="K7" s="392">
        <v>26.21</v>
      </c>
      <c r="L7" s="392">
        <v>27.36</v>
      </c>
      <c r="M7" s="392">
        <v>2.19</v>
      </c>
      <c r="N7" s="392">
        <v>7.63</v>
      </c>
      <c r="O7" s="392">
        <v>8.76</v>
      </c>
      <c r="P7" s="392">
        <v>4.93</v>
      </c>
      <c r="Q7" s="392">
        <v>2.74</v>
      </c>
      <c r="R7" s="392">
        <v>5.46</v>
      </c>
      <c r="S7" s="392">
        <v>8.6999999999999993</v>
      </c>
      <c r="T7" s="392">
        <v>3.28</v>
      </c>
      <c r="U7" s="392">
        <v>4.38</v>
      </c>
      <c r="V7" s="392">
        <v>16.38</v>
      </c>
      <c r="W7" s="392"/>
      <c r="X7" s="392">
        <v>1.0900000000000001</v>
      </c>
      <c r="Y7" s="392">
        <v>45.97</v>
      </c>
      <c r="Z7" s="392">
        <v>33.880000000000003</v>
      </c>
      <c r="AA7" s="393">
        <v>6.57</v>
      </c>
      <c r="AB7" s="393">
        <v>9.85</v>
      </c>
      <c r="AC7" s="393">
        <v>2.1800000000000002</v>
      </c>
      <c r="AD7" s="393">
        <v>21.89</v>
      </c>
      <c r="AE7" s="393">
        <v>18.61</v>
      </c>
      <c r="AF7" s="393">
        <v>118.72</v>
      </c>
      <c r="AG7" s="393"/>
      <c r="AH7" s="110">
        <f>SUM(C7:AG7)</f>
        <v>492.61</v>
      </c>
      <c r="AJ7" s="137" t="s">
        <v>60</v>
      </c>
      <c r="AK7" s="138" t="s">
        <v>212</v>
      </c>
      <c r="AL7" s="386">
        <f>SUM(C7:Z7)</f>
        <v>314.79000000000002</v>
      </c>
      <c r="AM7" s="387">
        <f>SUM(AA7:AG7)</f>
        <v>177.82</v>
      </c>
    </row>
    <row r="8" spans="1:40" ht="16.5" thickBot="1" x14ac:dyDescent="0.3">
      <c r="A8" s="90" t="s">
        <v>60</v>
      </c>
      <c r="B8" s="91" t="s">
        <v>55</v>
      </c>
      <c r="C8" s="389"/>
      <c r="D8" s="483">
        <v>150.38999999999999</v>
      </c>
      <c r="E8" s="389"/>
      <c r="F8" s="483">
        <v>33.33</v>
      </c>
      <c r="G8" s="391"/>
      <c r="H8" s="483">
        <v>22.99</v>
      </c>
      <c r="I8" s="483">
        <v>56.91</v>
      </c>
      <c r="J8" s="389"/>
      <c r="K8" s="389"/>
      <c r="L8" s="483">
        <v>28.46</v>
      </c>
      <c r="M8" s="389"/>
      <c r="N8" s="483">
        <v>47.01</v>
      </c>
      <c r="O8" s="483">
        <v>30.64</v>
      </c>
      <c r="P8" s="483">
        <v>32.840000000000003</v>
      </c>
      <c r="Q8" s="389"/>
      <c r="R8" s="483">
        <v>1.0900000000000001</v>
      </c>
      <c r="S8" s="483">
        <v>87.01</v>
      </c>
      <c r="T8" s="483">
        <v>8.6999999999999993</v>
      </c>
      <c r="U8" s="483">
        <v>54.73</v>
      </c>
      <c r="V8" s="483">
        <v>224.33</v>
      </c>
      <c r="W8" s="483">
        <v>1.0900000000000001</v>
      </c>
      <c r="X8" s="483">
        <v>62.33</v>
      </c>
      <c r="Y8" s="483">
        <v>25.25</v>
      </c>
      <c r="Z8" s="483">
        <v>76.599999999999994</v>
      </c>
      <c r="AA8" s="483">
        <v>16.420000000000002</v>
      </c>
      <c r="AB8" s="483">
        <v>78.81</v>
      </c>
      <c r="AC8" s="489">
        <v>4.38</v>
      </c>
      <c r="AD8" s="489">
        <v>56.86</v>
      </c>
      <c r="AE8" s="489">
        <v>164.25</v>
      </c>
      <c r="AF8" s="489">
        <v>215.5</v>
      </c>
      <c r="AG8" s="489">
        <v>25.18</v>
      </c>
      <c r="AH8" s="111">
        <f t="shared" ref="AH8" si="3">SUM(C8:AG8)</f>
        <v>1505.1000000000001</v>
      </c>
      <c r="AJ8" s="129" t="s">
        <v>60</v>
      </c>
      <c r="AK8" s="130" t="s">
        <v>213</v>
      </c>
      <c r="AL8" s="290">
        <f>SUM(C8:AB8)-AL13</f>
        <v>1007.7700000000001</v>
      </c>
      <c r="AM8" s="291">
        <f>SUM(AC8:AG8)-AM13</f>
        <v>450.64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0</v>
      </c>
      <c r="D9" s="107">
        <f t="shared" si="4"/>
        <v>150.38999999999999</v>
      </c>
      <c r="E9" s="107">
        <f t="shared" si="4"/>
        <v>1.0900000000000001</v>
      </c>
      <c r="F9" s="107">
        <f t="shared" si="4"/>
        <v>120.27</v>
      </c>
      <c r="G9" s="107">
        <f t="shared" si="4"/>
        <v>8.2100000000000009</v>
      </c>
      <c r="H9" s="107">
        <f t="shared" si="4"/>
        <v>42.58</v>
      </c>
      <c r="I9" s="107">
        <f t="shared" si="4"/>
        <v>56.91</v>
      </c>
      <c r="J9" s="107">
        <f t="shared" si="4"/>
        <v>0</v>
      </c>
      <c r="K9" s="107">
        <f t="shared" si="4"/>
        <v>26.21</v>
      </c>
      <c r="L9" s="107">
        <f t="shared" si="4"/>
        <v>55.82</v>
      </c>
      <c r="M9" s="107">
        <f t="shared" si="4"/>
        <v>2.19</v>
      </c>
      <c r="N9" s="107">
        <f t="shared" si="4"/>
        <v>54.64</v>
      </c>
      <c r="O9" s="107">
        <f t="shared" si="4"/>
        <v>39.4</v>
      </c>
      <c r="P9" s="107">
        <f t="shared" si="4"/>
        <v>37.770000000000003</v>
      </c>
      <c r="Q9" s="107">
        <f t="shared" si="4"/>
        <v>2.74</v>
      </c>
      <c r="R9" s="107">
        <f t="shared" si="4"/>
        <v>6.55</v>
      </c>
      <c r="S9" s="107">
        <f t="shared" si="4"/>
        <v>95.710000000000008</v>
      </c>
      <c r="T9" s="107">
        <f t="shared" si="4"/>
        <v>11.979999999999999</v>
      </c>
      <c r="U9" s="107">
        <v>0</v>
      </c>
      <c r="V9" s="107">
        <f t="shared" si="4"/>
        <v>240.71</v>
      </c>
      <c r="W9" s="107">
        <f t="shared" si="4"/>
        <v>1.0900000000000001</v>
      </c>
      <c r="X9" s="107">
        <f t="shared" si="4"/>
        <v>63.42</v>
      </c>
      <c r="Y9" s="107">
        <f t="shared" si="4"/>
        <v>71.22</v>
      </c>
      <c r="Z9" s="107">
        <f t="shared" si="4"/>
        <v>110.47999999999999</v>
      </c>
      <c r="AA9" s="107">
        <f t="shared" si="4"/>
        <v>22.990000000000002</v>
      </c>
      <c r="AB9" s="107">
        <f t="shared" si="4"/>
        <v>88.66</v>
      </c>
      <c r="AC9" s="107">
        <f t="shared" si="4"/>
        <v>6.5600000000000005</v>
      </c>
      <c r="AD9" s="107">
        <f t="shared" si="4"/>
        <v>78.75</v>
      </c>
      <c r="AE9" s="107">
        <f t="shared" si="4"/>
        <v>182.86</v>
      </c>
      <c r="AF9" s="107">
        <f t="shared" si="4"/>
        <v>334.22</v>
      </c>
      <c r="AG9" s="107">
        <f t="shared" si="4"/>
        <v>25.18</v>
      </c>
      <c r="AH9" s="110">
        <f>SUM(C9:AG9)</f>
        <v>1938.6</v>
      </c>
      <c r="AI9" s="59"/>
      <c r="AJ9" s="505" t="s">
        <v>76</v>
      </c>
      <c r="AK9" s="506"/>
      <c r="AL9" s="507">
        <f>SUM(AL7:AM8)</f>
        <v>1951.02</v>
      </c>
      <c r="AM9" s="508"/>
      <c r="AN9" s="273">
        <f>AL9-(AH9+AL11-AL13-AM13)</f>
        <v>59.110000000000127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6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7"/>
      <c r="AK12" s="225"/>
      <c r="AL12" s="99"/>
      <c r="AM12" s="478">
        <f>AL9+AL11+AM11+AL13+AM13</f>
        <v>1997.71</v>
      </c>
      <c r="AN12" s="477">
        <f>AM12-AH5</f>
        <v>0</v>
      </c>
    </row>
    <row r="13" spans="1:40" s="99" customFormat="1" ht="16.5" thickBot="1" x14ac:dyDescent="0.3">
      <c r="A13" s="466" t="s">
        <v>216</v>
      </c>
      <c r="B13" s="101" t="s">
        <v>195</v>
      </c>
      <c r="C13" s="468"/>
      <c r="D13" s="485">
        <v>4.51</v>
      </c>
      <c r="E13" s="468"/>
      <c r="F13" s="485">
        <v>1</v>
      </c>
      <c r="G13" s="468"/>
      <c r="H13" s="485">
        <v>0.69</v>
      </c>
      <c r="I13" s="485">
        <v>1.71</v>
      </c>
      <c r="J13" s="468"/>
      <c r="K13" s="468"/>
      <c r="L13" s="485">
        <v>0.85</v>
      </c>
      <c r="M13" s="468"/>
      <c r="N13" s="485">
        <v>1.41</v>
      </c>
      <c r="O13" s="485">
        <v>0.92</v>
      </c>
      <c r="P13" s="485">
        <v>0.99</v>
      </c>
      <c r="Q13" s="468"/>
      <c r="R13" s="485">
        <v>0.03</v>
      </c>
      <c r="S13" s="485">
        <v>2.61</v>
      </c>
      <c r="T13" s="485">
        <v>0.26</v>
      </c>
      <c r="U13" s="485">
        <v>1.64</v>
      </c>
      <c r="V13" s="485">
        <v>6.72</v>
      </c>
      <c r="W13" s="485">
        <v>0.03</v>
      </c>
      <c r="X13" s="485">
        <v>1.87</v>
      </c>
      <c r="Y13" s="485">
        <v>0.76</v>
      </c>
      <c r="Z13" s="485">
        <v>2.2999999999999998</v>
      </c>
      <c r="AA13" s="485">
        <v>0.5</v>
      </c>
      <c r="AB13" s="485">
        <v>2.36</v>
      </c>
      <c r="AC13" s="491">
        <v>0.13</v>
      </c>
      <c r="AD13" s="491">
        <v>1.71</v>
      </c>
      <c r="AE13" s="491">
        <v>4.92</v>
      </c>
      <c r="AF13" s="491">
        <v>6.47</v>
      </c>
      <c r="AG13" s="498">
        <v>2.2999999999999998</v>
      </c>
      <c r="AH13" s="469">
        <f t="shared" ref="AH13" si="6">SUM(C13:AG13)</f>
        <v>46.69</v>
      </c>
      <c r="AI13" s="62"/>
      <c r="AJ13" s="466" t="s">
        <v>216</v>
      </c>
      <c r="AK13" s="212" t="s">
        <v>197</v>
      </c>
      <c r="AL13" s="271">
        <f>SUM(C13:AB13)</f>
        <v>31.16</v>
      </c>
      <c r="AM13" s="272">
        <f>SUM(AC13:AG13)</f>
        <v>15.530000000000001</v>
      </c>
      <c r="AN13" s="274"/>
    </row>
    <row r="14" spans="1:40" s="102" customFormat="1" x14ac:dyDescent="0.25">
      <c r="A14" s="224"/>
      <c r="B14" s="225"/>
      <c r="C14" s="225"/>
      <c r="D14" s="482">
        <f>D8-D13</f>
        <v>145.88</v>
      </c>
      <c r="E14" s="482"/>
      <c r="F14" s="482">
        <f t="shared" ref="F14:AG14" si="7">F8-F13</f>
        <v>32.33</v>
      </c>
      <c r="G14" s="482"/>
      <c r="H14" s="482">
        <f t="shared" si="7"/>
        <v>22.299999999999997</v>
      </c>
      <c r="I14" s="482">
        <f t="shared" si="7"/>
        <v>55.199999999999996</v>
      </c>
      <c r="J14" s="482">
        <f t="shared" si="7"/>
        <v>0</v>
      </c>
      <c r="K14" s="482">
        <f t="shared" si="7"/>
        <v>0</v>
      </c>
      <c r="L14" s="482">
        <f t="shared" si="7"/>
        <v>27.61</v>
      </c>
      <c r="M14" s="482">
        <f t="shared" si="7"/>
        <v>0</v>
      </c>
      <c r="N14" s="482">
        <f t="shared" si="7"/>
        <v>45.6</v>
      </c>
      <c r="O14" s="482">
        <f t="shared" si="7"/>
        <v>29.72</v>
      </c>
      <c r="P14" s="482">
        <f t="shared" si="7"/>
        <v>31.850000000000005</v>
      </c>
      <c r="Q14" s="482">
        <f t="shared" si="7"/>
        <v>0</v>
      </c>
      <c r="R14" s="482">
        <f t="shared" si="7"/>
        <v>1.06</v>
      </c>
      <c r="S14" s="482">
        <f t="shared" si="7"/>
        <v>84.4</v>
      </c>
      <c r="T14" s="482">
        <f t="shared" si="7"/>
        <v>8.44</v>
      </c>
      <c r="U14" s="482">
        <f t="shared" si="7"/>
        <v>53.089999999999996</v>
      </c>
      <c r="V14" s="482">
        <f t="shared" si="7"/>
        <v>217.61</v>
      </c>
      <c r="W14" s="482">
        <f t="shared" si="7"/>
        <v>1.06</v>
      </c>
      <c r="X14" s="482">
        <f t="shared" si="7"/>
        <v>60.46</v>
      </c>
      <c r="Y14" s="482">
        <f t="shared" si="7"/>
        <v>24.49</v>
      </c>
      <c r="Z14" s="482">
        <f t="shared" si="7"/>
        <v>74.3</v>
      </c>
      <c r="AA14" s="482">
        <f t="shared" si="7"/>
        <v>15.920000000000002</v>
      </c>
      <c r="AB14" s="482">
        <f t="shared" si="7"/>
        <v>76.45</v>
      </c>
      <c r="AC14" s="482">
        <f>AC8-AC13</f>
        <v>4.25</v>
      </c>
      <c r="AD14" s="482">
        <f t="shared" si="7"/>
        <v>55.15</v>
      </c>
      <c r="AE14" s="482">
        <f t="shared" si="7"/>
        <v>159.33000000000001</v>
      </c>
      <c r="AF14" s="482">
        <f t="shared" si="7"/>
        <v>209.03</v>
      </c>
      <c r="AG14" s="482">
        <f t="shared" si="7"/>
        <v>22.88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opLeftCell="A2" workbookViewId="0">
      <selection activeCell="F43" sqref="F43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May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8" t="s">
        <v>181</v>
      </c>
      <c r="B3" s="529"/>
      <c r="C3" s="530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153184.4</v>
      </c>
      <c r="D4" s="522"/>
      <c r="E4" s="523"/>
      <c r="F4" s="523"/>
    </row>
    <row r="5" spans="1:6" ht="14.1" customHeight="1" x14ac:dyDescent="0.25">
      <c r="A5" s="90" t="s">
        <v>173</v>
      </c>
      <c r="B5" s="91" t="s">
        <v>63</v>
      </c>
      <c r="C5" s="187">
        <f>Pool!AH9</f>
        <v>4518</v>
      </c>
      <c r="D5" s="526"/>
      <c r="E5" s="527"/>
      <c r="F5" s="527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31439</v>
      </c>
      <c r="D6" s="524"/>
      <c r="E6" s="525"/>
      <c r="F6" s="525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6"/>
      <c r="E7" s="527"/>
      <c r="F7" s="527"/>
    </row>
    <row r="8" spans="1:6" ht="14.1" customHeight="1" x14ac:dyDescent="0.25">
      <c r="A8" s="90" t="s">
        <v>159</v>
      </c>
      <c r="B8" s="91" t="s">
        <v>168</v>
      </c>
      <c r="C8" s="187">
        <f>Pool!AH10</f>
        <v>1</v>
      </c>
      <c r="D8" s="526"/>
      <c r="E8" s="527"/>
      <c r="F8" s="527"/>
    </row>
    <row r="9" spans="1:6" ht="14.1" customHeight="1" x14ac:dyDescent="0.25">
      <c r="A9" s="90" t="s">
        <v>34</v>
      </c>
      <c r="B9" s="91" t="s">
        <v>35</v>
      </c>
      <c r="C9" s="187">
        <f>Pool!AH14</f>
        <v>838</v>
      </c>
      <c r="D9" s="526"/>
      <c r="E9" s="527"/>
      <c r="F9" s="527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9888.2900000000009</v>
      </c>
      <c r="D10" s="526"/>
      <c r="E10" s="527"/>
      <c r="F10" s="527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6"/>
      <c r="E11" s="527"/>
      <c r="F11" s="527"/>
    </row>
    <row r="12" spans="1:6" ht="14.1" customHeight="1" x14ac:dyDescent="0.25">
      <c r="A12" s="90" t="s">
        <v>77</v>
      </c>
      <c r="B12" s="91" t="s">
        <v>193</v>
      </c>
      <c r="C12" s="187">
        <f>Pool!AH18</f>
        <v>6618</v>
      </c>
      <c r="D12" s="526"/>
      <c r="E12" s="527"/>
      <c r="F12" s="527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6"/>
      <c r="E13" s="527"/>
      <c r="F13" s="527"/>
    </row>
    <row r="14" spans="1:6" ht="14.1" customHeight="1" x14ac:dyDescent="0.25">
      <c r="A14" s="90" t="s">
        <v>40</v>
      </c>
      <c r="B14" s="91" t="s">
        <v>228</v>
      </c>
      <c r="C14" s="187">
        <f>Pool!AH20</f>
        <v>360</v>
      </c>
      <c r="D14" s="526"/>
      <c r="E14" s="527"/>
      <c r="F14" s="527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450</v>
      </c>
      <c r="D15" s="526"/>
      <c r="E15" s="527"/>
      <c r="F15" s="527"/>
    </row>
    <row r="16" spans="1:6" ht="14.1" hidden="1" customHeight="1" x14ac:dyDescent="0.25">
      <c r="A16" s="470" t="s">
        <v>42</v>
      </c>
      <c r="B16" s="471" t="s">
        <v>43</v>
      </c>
      <c r="C16" s="472">
        <f>Pool!AH22</f>
        <v>0</v>
      </c>
      <c r="D16" s="526"/>
      <c r="E16" s="527"/>
      <c r="F16" s="527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6"/>
      <c r="E17" s="527"/>
      <c r="F17" s="527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6"/>
      <c r="E18" s="527"/>
      <c r="F18" s="527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6"/>
      <c r="E19" s="527"/>
      <c r="F19" s="527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6"/>
      <c r="E20" s="527"/>
      <c r="F20" s="527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6"/>
      <c r="E21" s="527"/>
      <c r="F21" s="527"/>
    </row>
    <row r="22" spans="1:7" ht="14.1" customHeight="1" x14ac:dyDescent="0.25">
      <c r="A22" s="189"/>
      <c r="B22" s="207" t="s">
        <v>64</v>
      </c>
      <c r="C22" s="473">
        <f>C4+C5+C6+C7+C8+C9+C10+C11+C12+C15+C14</f>
        <v>207296.69</v>
      </c>
      <c r="D22" s="527" t="s">
        <v>171</v>
      </c>
      <c r="E22" s="527"/>
      <c r="F22" s="527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8" t="s">
        <v>174</v>
      </c>
      <c r="B24" s="529"/>
      <c r="C24" s="530"/>
    </row>
    <row r="25" spans="1:7" ht="14.1" customHeight="1" x14ac:dyDescent="0.25">
      <c r="A25" s="126" t="s">
        <v>61</v>
      </c>
      <c r="B25" s="394" t="s">
        <v>62</v>
      </c>
      <c r="C25" s="395">
        <f>Pool!AH3</f>
        <v>950.84000000000015</v>
      </c>
      <c r="D25" s="526"/>
      <c r="E25" s="527"/>
      <c r="F25" s="527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6" t="s">
        <v>179</v>
      </c>
      <c r="E26" s="527"/>
      <c r="F26" s="527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6" t="s">
        <v>169</v>
      </c>
      <c r="E27" s="527"/>
      <c r="F27" s="527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6" t="s">
        <v>170</v>
      </c>
      <c r="E28" s="527"/>
      <c r="F28" s="527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306</v>
      </c>
      <c r="D29" s="526" t="s">
        <v>175</v>
      </c>
      <c r="E29" s="527"/>
      <c r="F29" s="527"/>
    </row>
    <row r="30" spans="1:7" ht="14.1" customHeight="1" x14ac:dyDescent="0.25">
      <c r="A30" s="116"/>
      <c r="B30" s="400" t="s">
        <v>176</v>
      </c>
      <c r="C30" s="401">
        <f>SUM(C25:C29)</f>
        <v>1256.8400000000001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208553.53</v>
      </c>
      <c r="D32" s="527" t="s">
        <v>178</v>
      </c>
      <c r="E32" s="527"/>
      <c r="F32" s="527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8" t="s">
        <v>180</v>
      </c>
      <c r="B34" s="529"/>
      <c r="C34" s="530"/>
    </row>
    <row r="35" spans="1:6" ht="14.1" customHeight="1" x14ac:dyDescent="0.25">
      <c r="A35" s="126" t="s">
        <v>60</v>
      </c>
      <c r="B35" s="127" t="s">
        <v>86</v>
      </c>
      <c r="C35" s="157">
        <f>Pool!AL33</f>
        <v>27754.719999999998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2133.19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94882.810000000012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77813.64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5377.3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-89.210000000001401</v>
      </c>
      <c r="D42" s="531"/>
      <c r="E42" s="532"/>
      <c r="F42" s="532"/>
    </row>
    <row r="43" spans="1:6" ht="14.1" customHeight="1" x14ac:dyDescent="0.25">
      <c r="A43" s="361" t="s">
        <v>67</v>
      </c>
      <c r="B43" s="362" t="s">
        <v>91</v>
      </c>
      <c r="C43" s="379">
        <f>Pool!AL37</f>
        <v>396.28000000000003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284.8</v>
      </c>
    </row>
    <row r="45" spans="1:6" ht="12.75" customHeight="1" x14ac:dyDescent="0.25">
      <c r="A45" s="205"/>
      <c r="B45" s="208" t="s">
        <v>65</v>
      </c>
      <c r="C45" s="209">
        <f>SUM(C35:C44)</f>
        <v>208553.52999999997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8879</v>
      </c>
    </row>
    <row r="48" spans="1:6" ht="14.1" customHeight="1" x14ac:dyDescent="0.25">
      <c r="B48" s="129" t="s">
        <v>58</v>
      </c>
      <c r="C48" s="237">
        <f>Pool!AJ48</f>
        <v>1723</v>
      </c>
    </row>
    <row r="49" spans="1:5" ht="14.1" customHeight="1" thickBot="1" x14ac:dyDescent="0.3">
      <c r="B49" s="238" t="s">
        <v>106</v>
      </c>
      <c r="C49" s="239">
        <f>C47+C48</f>
        <v>10602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17.362795487783544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98.466666666666669</v>
      </c>
    </row>
    <row r="55" spans="1:5" ht="14.1" customHeight="1" x14ac:dyDescent="0.25">
      <c r="A55" s="264"/>
      <c r="B55" s="312" t="s">
        <v>134</v>
      </c>
      <c r="C55" s="313">
        <f>Pool!AJ58</f>
        <v>88.233333333333334</v>
      </c>
    </row>
    <row r="56" spans="1:5" ht="14.1" customHeight="1" x14ac:dyDescent="0.25">
      <c r="B56" s="312" t="s">
        <v>136</v>
      </c>
      <c r="C56" s="313">
        <f>Pool!AJ59</f>
        <v>80.099999999999994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5" sqref="G25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May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358.44000000000005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37736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340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3794.4699999999993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8.8000000000000007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2.8500000000003638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42240.560000000005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12403.099999999999</v>
      </c>
    </row>
    <row r="14" spans="1:5" x14ac:dyDescent="0.25">
      <c r="A14" s="129" t="s">
        <v>60</v>
      </c>
      <c r="B14" s="130" t="s">
        <v>94</v>
      </c>
      <c r="C14" s="131">
        <f>'Box Canon'!AM20</f>
        <v>937.09</v>
      </c>
    </row>
    <row r="15" spans="1:5" x14ac:dyDescent="0.25">
      <c r="A15" s="129" t="s">
        <v>60</v>
      </c>
      <c r="B15" s="130" t="s">
        <v>93</v>
      </c>
      <c r="C15" s="131">
        <f>'Box Canon'!AL21</f>
        <v>13310.999999999998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14708.060000000001</v>
      </c>
    </row>
    <row r="17" spans="1:4" x14ac:dyDescent="0.25">
      <c r="A17" s="129" t="s">
        <v>60</v>
      </c>
      <c r="B17" s="130" t="s">
        <v>207</v>
      </c>
      <c r="C17" s="131">
        <f>'Box Canon'!AL22</f>
        <v>14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867.31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42240.56</v>
      </c>
    </row>
    <row r="23" spans="1:4" ht="15.75" thickBot="1" x14ac:dyDescent="0.3"/>
    <row r="24" spans="1:4" x14ac:dyDescent="0.25">
      <c r="B24" s="533" t="s">
        <v>57</v>
      </c>
      <c r="C24" s="534"/>
    </row>
    <row r="25" spans="1:4" x14ac:dyDescent="0.25">
      <c r="B25" s="143" t="s">
        <v>75</v>
      </c>
      <c r="C25" s="145">
        <f>'Box Canon'!AJ32</f>
        <v>3924</v>
      </c>
    </row>
    <row r="26" spans="1:4" x14ac:dyDescent="0.25">
      <c r="B26" s="143" t="s">
        <v>74</v>
      </c>
      <c r="C26" s="145">
        <f>'Box Canon'!AJ33</f>
        <v>925</v>
      </c>
    </row>
    <row r="27" spans="1:4" x14ac:dyDescent="0.25">
      <c r="B27" s="143" t="s">
        <v>199</v>
      </c>
      <c r="C27" s="145">
        <f>'Box Canon'!AJ34</f>
        <v>84</v>
      </c>
    </row>
    <row r="28" spans="1:4" x14ac:dyDescent="0.25">
      <c r="B28" s="143" t="s">
        <v>72</v>
      </c>
      <c r="C28" s="145">
        <f>'Box Canon'!AJ35</f>
        <v>50</v>
      </c>
    </row>
    <row r="29" spans="1:4" x14ac:dyDescent="0.25">
      <c r="B29" s="143" t="s">
        <v>73</v>
      </c>
      <c r="C29" s="145">
        <f>'Box Canon'!AJ36</f>
        <v>903</v>
      </c>
    </row>
    <row r="30" spans="1:4" x14ac:dyDescent="0.25">
      <c r="B30" s="143" t="s">
        <v>71</v>
      </c>
      <c r="C30" s="145">
        <f>'Box Canon'!AJ37</f>
        <v>158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6044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1" sqref="H21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May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161.57999999999998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1836.1300000000006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1997.7100000000005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314.79000000000002</v>
      </c>
    </row>
    <row r="11" spans="1:5" x14ac:dyDescent="0.25">
      <c r="A11" s="129" t="s">
        <v>60</v>
      </c>
      <c r="B11" s="130" t="s">
        <v>219</v>
      </c>
      <c r="C11" s="131">
        <f>'Visitor Center'!AM7</f>
        <v>177.82</v>
      </c>
    </row>
    <row r="12" spans="1:5" x14ac:dyDescent="0.25">
      <c r="A12" s="129" t="s">
        <v>60</v>
      </c>
      <c r="B12" s="130" t="s">
        <v>220</v>
      </c>
      <c r="C12" s="131">
        <f>'Visitor Center'!AL8</f>
        <v>1007.7700000000001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450.64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46.69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1997.71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2023-06-06T20:56:30Z</cp:lastPrinted>
  <dcterms:created xsi:type="dcterms:W3CDTF">2017-08-14T15:26:56Z</dcterms:created>
  <dcterms:modified xsi:type="dcterms:W3CDTF">2023-06-15T19:20:49Z</dcterms:modified>
</cp:coreProperties>
</file>