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2\"/>
    </mc:Choice>
  </mc:AlternateContent>
  <bookViews>
    <workbookView xWindow="0" yWindow="0" windowWidth="20490" windowHeight="8340" activeTab="3"/>
  </bookViews>
  <sheets>
    <sheet name="Cash Flow" sheetId="2" r:id="rId1"/>
    <sheet name="Pool" sheetId="3" r:id="rId2"/>
    <sheet name="Pool Stats" sheetId="8" r:id="rId3"/>
    <sheet name="Box Canon" sheetId="9" r:id="rId4"/>
    <sheet name="Box Cañon JE" sheetId="7" r:id="rId5"/>
    <sheet name="POOL JE" sheetId="5" r:id="rId6"/>
  </sheets>
  <externalReferences>
    <externalReference r:id="rId7"/>
  </externalReferences>
  <definedNames>
    <definedName name="_xlnm.Print_Area" localSheetId="3">'Box Canon'!$A$2:$AH$46</definedName>
    <definedName name="_xlnm.Print_Area" localSheetId="4">'Box Cañon JE'!$A$1:$D$33</definedName>
    <definedName name="_xlnm.Print_Area" localSheetId="1">Pool!$A$1:$AH$53</definedName>
    <definedName name="_xlnm.Print_Area" localSheetId="5">'POOL JE'!$A$1:$C$60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38" i="3" l="1"/>
  <c r="AL38" i="3"/>
  <c r="AM43" i="3" s="1"/>
  <c r="AN43" i="3" s="1"/>
  <c r="AH40" i="3"/>
  <c r="AJ40" i="3"/>
  <c r="AN25" i="9"/>
  <c r="AL25" i="9"/>
  <c r="D24" i="9" l="1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C24" i="9"/>
  <c r="AH24" i="9" l="1"/>
  <c r="AL21" i="9"/>
  <c r="AM21" i="9"/>
  <c r="AM29" i="9"/>
  <c r="AL29" i="9"/>
  <c r="AM20" i="9"/>
  <c r="AL20" i="9"/>
  <c r="U33" i="3"/>
  <c r="U44" i="3"/>
  <c r="W43" i="9" l="1"/>
  <c r="AL44" i="3"/>
  <c r="AL33" i="3" s="1"/>
  <c r="AM44" i="3"/>
  <c r="AM32" i="3"/>
  <c r="AM33" i="3"/>
  <c r="AL32" i="3"/>
  <c r="C51" i="3" l="1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C53" i="3"/>
  <c r="C5" i="5"/>
  <c r="C4" i="5"/>
  <c r="C12" i="5"/>
  <c r="Z8" i="3" l="1"/>
  <c r="AB44" i="3"/>
  <c r="AA44" i="3"/>
  <c r="V44" i="3"/>
  <c r="AF8" i="3"/>
  <c r="AE17" i="3"/>
  <c r="AE8" i="3"/>
  <c r="AD17" i="3"/>
  <c r="AD8" i="3"/>
  <c r="AC17" i="3"/>
  <c r="AC8" i="3"/>
  <c r="AB8" i="3"/>
  <c r="AA8" i="3"/>
  <c r="Z17" i="3"/>
  <c r="X8" i="3"/>
  <c r="W8" i="3"/>
  <c r="AM22" i="9" l="1"/>
  <c r="AL22" i="9"/>
  <c r="AH22" i="9"/>
  <c r="AH23" i="9"/>
  <c r="AF44" i="9"/>
  <c r="AF43" i="9"/>
  <c r="AF41" i="9"/>
  <c r="AF40" i="9"/>
  <c r="AF39" i="9"/>
  <c r="AE44" i="9"/>
  <c r="AE43" i="9"/>
  <c r="AE41" i="9"/>
  <c r="AE40" i="9"/>
  <c r="AE39" i="9"/>
  <c r="AD44" i="9"/>
  <c r="AD43" i="9"/>
  <c r="AD41" i="9"/>
  <c r="AD40" i="9"/>
  <c r="AD39" i="9"/>
  <c r="AC44" i="9"/>
  <c r="AC43" i="9"/>
  <c r="AC41" i="9"/>
  <c r="AC40" i="9"/>
  <c r="AC39" i="9"/>
  <c r="AB43" i="9" l="1"/>
  <c r="AB39" i="9"/>
  <c r="AA44" i="9"/>
  <c r="AA43" i="9"/>
  <c r="AA40" i="9"/>
  <c r="AA39" i="9"/>
  <c r="AA32" i="9"/>
  <c r="Z44" i="9"/>
  <c r="Z43" i="9"/>
  <c r="Z41" i="9"/>
  <c r="Z40" i="9"/>
  <c r="Z39" i="9"/>
  <c r="X44" i="9" l="1"/>
  <c r="X43" i="9"/>
  <c r="X41" i="9"/>
  <c r="X40" i="9"/>
  <c r="X39" i="9"/>
  <c r="W44" i="9"/>
  <c r="W40" i="9"/>
  <c r="W39" i="9"/>
  <c r="W4" i="9"/>
  <c r="W36" i="9"/>
  <c r="V43" i="9" l="1"/>
  <c r="V40" i="9"/>
  <c r="V39" i="9"/>
  <c r="X46" i="3"/>
  <c r="D46" i="3"/>
  <c r="F46" i="3"/>
  <c r="E46" i="3"/>
  <c r="U44" i="9"/>
  <c r="U43" i="9"/>
  <c r="U39" i="9"/>
  <c r="T44" i="9"/>
  <c r="T43" i="9"/>
  <c r="T40" i="9"/>
  <c r="T39" i="9"/>
  <c r="S44" i="9"/>
  <c r="S43" i="9"/>
  <c r="S40" i="9"/>
  <c r="S39" i="9"/>
  <c r="R44" i="9"/>
  <c r="R43" i="9"/>
  <c r="R41" i="9"/>
  <c r="R40" i="9"/>
  <c r="R39" i="9"/>
  <c r="Q44" i="9"/>
  <c r="Q43" i="9"/>
  <c r="Q41" i="9"/>
  <c r="Q40" i="9"/>
  <c r="Q39" i="9"/>
  <c r="V17" i="3" l="1"/>
  <c r="V8" i="3"/>
  <c r="U17" i="3"/>
  <c r="U8" i="3"/>
  <c r="T17" i="3"/>
  <c r="T8" i="3"/>
  <c r="S17" i="3"/>
  <c r="S8" i="3"/>
  <c r="Q8" i="3"/>
  <c r="P8" i="3"/>
  <c r="O17" i="3"/>
  <c r="O8" i="3"/>
  <c r="N8" i="3"/>
  <c r="M17" i="3"/>
  <c r="M8" i="3"/>
  <c r="L8" i="3"/>
  <c r="K17" i="3"/>
  <c r="K8" i="3"/>
  <c r="J8" i="3"/>
  <c r="J42" i="3" s="1"/>
  <c r="J17" i="3"/>
  <c r="I17" i="3"/>
  <c r="I8" i="3"/>
  <c r="I42" i="3" s="1"/>
  <c r="H8" i="3"/>
  <c r="P44" i="9" l="1"/>
  <c r="P43" i="9"/>
  <c r="P40" i="9"/>
  <c r="P39" i="9"/>
  <c r="P4" i="9"/>
  <c r="O44" i="9"/>
  <c r="O43" i="9"/>
  <c r="O41" i="9"/>
  <c r="O40" i="9"/>
  <c r="O39" i="9"/>
  <c r="N44" i="9"/>
  <c r="N43" i="9"/>
  <c r="N41" i="9"/>
  <c r="N40" i="9"/>
  <c r="N39" i="9"/>
  <c r="M44" i="9"/>
  <c r="M43" i="9"/>
  <c r="M40" i="9"/>
  <c r="M39" i="9"/>
  <c r="L44" i="9"/>
  <c r="L43" i="9"/>
  <c r="L41" i="9"/>
  <c r="L40" i="9"/>
  <c r="L39" i="9"/>
  <c r="K44" i="9" l="1"/>
  <c r="K43" i="9"/>
  <c r="K40" i="9"/>
  <c r="K39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C27" i="9"/>
  <c r="C26" i="9"/>
  <c r="J44" i="9"/>
  <c r="J43" i="9"/>
  <c r="J40" i="9"/>
  <c r="J39" i="9"/>
  <c r="I44" i="9"/>
  <c r="I43" i="9"/>
  <c r="I40" i="9"/>
  <c r="I39" i="9"/>
  <c r="G8" i="3" l="1"/>
  <c r="G17" i="3"/>
  <c r="F8" i="3"/>
  <c r="E8" i="3"/>
  <c r="D8" i="3"/>
  <c r="C8" i="3"/>
  <c r="G44" i="9"/>
  <c r="G43" i="9"/>
  <c r="G42" i="9"/>
  <c r="G41" i="9"/>
  <c r="G40" i="9"/>
  <c r="G39" i="9"/>
  <c r="F44" i="9"/>
  <c r="F43" i="9"/>
  <c r="F40" i="9"/>
  <c r="F39" i="9"/>
  <c r="E44" i="9"/>
  <c r="E43" i="9"/>
  <c r="E40" i="9"/>
  <c r="E39" i="9"/>
  <c r="D44" i="9"/>
  <c r="D43" i="9"/>
  <c r="D40" i="9"/>
  <c r="D39" i="9"/>
  <c r="C44" i="9"/>
  <c r="C43" i="9"/>
  <c r="C40" i="9"/>
  <c r="C39" i="9"/>
  <c r="C18" i="7"/>
  <c r="C17" i="7"/>
  <c r="C20" i="7" l="1"/>
  <c r="C19" i="7"/>
  <c r="AH29" i="9" l="1"/>
  <c r="F41" i="9" l="1"/>
  <c r="I41" i="9"/>
  <c r="M41" i="9"/>
  <c r="P41" i="9"/>
  <c r="T41" i="9"/>
  <c r="AA41" i="9"/>
  <c r="AG41" i="9"/>
  <c r="C34" i="9"/>
  <c r="D34" i="9"/>
  <c r="E34" i="9"/>
  <c r="F34" i="9"/>
  <c r="H34" i="9"/>
  <c r="I34" i="9"/>
  <c r="J34" i="9"/>
  <c r="J41" i="9" s="1"/>
  <c r="K34" i="9"/>
  <c r="K41" i="9" s="1"/>
  <c r="S34" i="9"/>
  <c r="T34" i="9"/>
  <c r="U34" i="9"/>
  <c r="V34" i="9"/>
  <c r="W34" i="9"/>
  <c r="Y34" i="9"/>
  <c r="AA34" i="9"/>
  <c r="AB34" i="9"/>
  <c r="AG34" i="9"/>
  <c r="H33" i="9"/>
  <c r="U33" i="9"/>
  <c r="Y33" i="9"/>
  <c r="AB33" i="9"/>
  <c r="AG33" i="9"/>
  <c r="AH34" i="9" l="1"/>
  <c r="AH41" i="9"/>
  <c r="AH44" i="3"/>
  <c r="AJ34" i="9" l="1"/>
  <c r="C27" i="7" s="1"/>
  <c r="C41" i="5"/>
  <c r="C42" i="5"/>
  <c r="AM34" i="3" l="1"/>
  <c r="AL34" i="3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39" i="3" l="1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C39" i="3"/>
  <c r="C16" i="7" l="1"/>
  <c r="C15" i="7"/>
  <c r="C14" i="7"/>
  <c r="C13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AG44" i="9" l="1"/>
  <c r="AG43" i="9"/>
  <c r="AG42" i="9"/>
  <c r="AE42" i="9"/>
  <c r="AD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K42" i="9"/>
  <c r="J42" i="9"/>
  <c r="I42" i="9"/>
  <c r="H42" i="9"/>
  <c r="F42" i="9"/>
  <c r="E42" i="9"/>
  <c r="C42" i="9"/>
  <c r="AG40" i="9"/>
  <c r="AG39" i="9"/>
  <c r="H32" i="9"/>
  <c r="Y32" i="9"/>
  <c r="AG32" i="9"/>
  <c r="D35" i="9"/>
  <c r="H35" i="9"/>
  <c r="I35" i="9"/>
  <c r="J35" i="9"/>
  <c r="K35" i="9"/>
  <c r="N35" i="9"/>
  <c r="O35" i="9"/>
  <c r="P35" i="9"/>
  <c r="R35" i="9"/>
  <c r="S35" i="9"/>
  <c r="U35" i="9"/>
  <c r="V35" i="9"/>
  <c r="X35" i="9"/>
  <c r="Y35" i="9"/>
  <c r="Z35" i="9"/>
  <c r="AA35" i="9"/>
  <c r="AF35" i="9"/>
  <c r="AG35" i="9"/>
  <c r="H36" i="9"/>
  <c r="Y36" i="9"/>
  <c r="AG36" i="9"/>
  <c r="H37" i="9"/>
  <c r="U37" i="9"/>
  <c r="V37" i="9"/>
  <c r="Y37" i="9"/>
  <c r="AB37" i="9"/>
  <c r="AG37" i="9"/>
  <c r="C35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AH4" i="9"/>
  <c r="AH5" i="9"/>
  <c r="AH6" i="9"/>
  <c r="AH7" i="9"/>
  <c r="AH9" i="9"/>
  <c r="AH10" i="9"/>
  <c r="AH11" i="9"/>
  <c r="AH12" i="9"/>
  <c r="AH13" i="9"/>
  <c r="AH14" i="9"/>
  <c r="A18" i="9"/>
  <c r="AH18" i="9"/>
  <c r="A19" i="9"/>
  <c r="AH19" i="9"/>
  <c r="A20" i="9"/>
  <c r="AH20" i="9"/>
  <c r="A21" i="9"/>
  <c r="AH21" i="9"/>
  <c r="Y38" i="9" l="1"/>
  <c r="C6" i="7"/>
  <c r="C3" i="7"/>
  <c r="J38" i="9"/>
  <c r="K38" i="9"/>
  <c r="C38" i="9"/>
  <c r="X45" i="9"/>
  <c r="P45" i="9"/>
  <c r="AF45" i="9"/>
  <c r="H45" i="9"/>
  <c r="D45" i="9"/>
  <c r="G46" i="9"/>
  <c r="R38" i="9"/>
  <c r="I45" i="9"/>
  <c r="Q45" i="9"/>
  <c r="AA38" i="9"/>
  <c r="AG38" i="9"/>
  <c r="Q38" i="9"/>
  <c r="AE38" i="9"/>
  <c r="W46" i="9"/>
  <c r="O38" i="9"/>
  <c r="G38" i="9"/>
  <c r="AC38" i="9"/>
  <c r="U38" i="9"/>
  <c r="M38" i="9"/>
  <c r="E38" i="9"/>
  <c r="AH42" i="9"/>
  <c r="S38" i="9"/>
  <c r="Z38" i="9"/>
  <c r="AH35" i="9"/>
  <c r="N38" i="9"/>
  <c r="F38" i="9"/>
  <c r="D38" i="9"/>
  <c r="L45" i="9"/>
  <c r="T45" i="9"/>
  <c r="AB45" i="9"/>
  <c r="I38" i="9"/>
  <c r="W38" i="9"/>
  <c r="AH40" i="9"/>
  <c r="AD45" i="9"/>
  <c r="O46" i="9"/>
  <c r="C4" i="7"/>
  <c r="L38" i="9"/>
  <c r="AD38" i="9"/>
  <c r="V38" i="9"/>
  <c r="AB38" i="9"/>
  <c r="U46" i="9"/>
  <c r="AA46" i="9"/>
  <c r="F45" i="9"/>
  <c r="C7" i="7"/>
  <c r="P38" i="9"/>
  <c r="H38" i="9"/>
  <c r="AC45" i="9"/>
  <c r="N46" i="9"/>
  <c r="AH39" i="9"/>
  <c r="S46" i="9"/>
  <c r="E45" i="9"/>
  <c r="V45" i="9"/>
  <c r="AE46" i="9"/>
  <c r="AF38" i="9"/>
  <c r="X38" i="9"/>
  <c r="G45" i="9"/>
  <c r="O45" i="9"/>
  <c r="W45" i="9"/>
  <c r="AE45" i="9"/>
  <c r="Y45" i="9"/>
  <c r="AG45" i="9"/>
  <c r="J45" i="9"/>
  <c r="R45" i="9"/>
  <c r="Z46" i="9"/>
  <c r="AH44" i="9"/>
  <c r="K46" i="9"/>
  <c r="M46" i="9"/>
  <c r="N45" i="9"/>
  <c r="C5" i="7"/>
  <c r="C45" i="9"/>
  <c r="AC46" i="9"/>
  <c r="E46" i="9"/>
  <c r="AA45" i="9"/>
  <c r="AG46" i="9"/>
  <c r="Y46" i="9"/>
  <c r="Q46" i="9"/>
  <c r="I46" i="9"/>
  <c r="U45" i="9"/>
  <c r="M45" i="9"/>
  <c r="AH43" i="9"/>
  <c r="V46" i="9"/>
  <c r="P46" i="9"/>
  <c r="L46" i="9"/>
  <c r="H46" i="9"/>
  <c r="D46" i="9"/>
  <c r="S45" i="9"/>
  <c r="AD46" i="9"/>
  <c r="R46" i="9"/>
  <c r="J46" i="9"/>
  <c r="F46" i="9"/>
  <c r="K45" i="9"/>
  <c r="C46" i="9"/>
  <c r="Z45" i="9"/>
  <c r="AH37" i="9"/>
  <c r="AH36" i="9"/>
  <c r="AH32" i="9"/>
  <c r="AH27" i="9"/>
  <c r="AH15" i="9"/>
  <c r="AH8" i="9"/>
  <c r="AF46" i="9"/>
  <c r="AB46" i="9"/>
  <c r="X46" i="9"/>
  <c r="T46" i="9"/>
  <c r="AH33" i="9"/>
  <c r="T38" i="9"/>
  <c r="AJ32" i="9" l="1"/>
  <c r="C25" i="7" s="1"/>
  <c r="AH46" i="9"/>
  <c r="AJ46" i="9" s="1"/>
  <c r="AJ35" i="9"/>
  <c r="C28" i="7" s="1"/>
  <c r="AH38" i="9"/>
  <c r="AH45" i="9"/>
  <c r="AJ37" i="9"/>
  <c r="C30" i="7" s="1"/>
  <c r="AJ36" i="9"/>
  <c r="C29" i="7" s="1"/>
  <c r="AJ33" i="9"/>
  <c r="C26" i="7" s="1"/>
  <c r="AH26" i="9"/>
  <c r="AL24" i="9" s="1"/>
  <c r="C9" i="7" l="1"/>
  <c r="C32" i="7"/>
  <c r="AH5" i="3"/>
  <c r="AH19" i="3" l="1"/>
  <c r="C15" i="5" s="1"/>
  <c r="AH9" i="3"/>
  <c r="C7" i="5" s="1"/>
  <c r="AH10" i="3"/>
  <c r="C8" i="5" s="1"/>
  <c r="AH11" i="3"/>
  <c r="C26" i="5" s="1"/>
  <c r="AH12" i="3"/>
  <c r="C27" i="5" s="1"/>
  <c r="AH13" i="3"/>
  <c r="C28" i="5" s="1"/>
  <c r="B1" i="3" l="1"/>
  <c r="AH28" i="3" l="1"/>
  <c r="AG53" i="3" l="1"/>
  <c r="AH8" i="3" l="1"/>
  <c r="C6" i="5" s="1"/>
  <c r="AH7" i="3"/>
  <c r="M2" i="8" l="1" a="1"/>
  <c r="M5" i="8" s="1"/>
  <c r="L2" i="8" a="1"/>
  <c r="L3" i="8" s="1"/>
  <c r="K2" i="8" a="1"/>
  <c r="K4" i="8" s="1"/>
  <c r="I2" i="8" a="1"/>
  <c r="I5" i="8" s="1"/>
  <c r="H2" i="8" a="1"/>
  <c r="H5" i="8" s="1"/>
  <c r="G2" i="8" a="1"/>
  <c r="G5" i="8" s="1"/>
  <c r="F2" i="8" a="1"/>
  <c r="F5" i="8" s="1"/>
  <c r="E2" i="8" a="1"/>
  <c r="E5" i="8" s="1"/>
  <c r="D2" i="8" a="1"/>
  <c r="D2" i="8" s="1"/>
  <c r="C2" i="8" a="1"/>
  <c r="C4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H32" i="8"/>
  <c r="H28" i="8"/>
  <c r="H24" i="8"/>
  <c r="H20" i="8"/>
  <c r="H16" i="8"/>
  <c r="H12" i="8"/>
  <c r="H8" i="8"/>
  <c r="H4" i="8"/>
  <c r="H31" i="8"/>
  <c r="H27" i="8"/>
  <c r="H23" i="8"/>
  <c r="H19" i="8"/>
  <c r="H15" i="8"/>
  <c r="H11" i="8"/>
  <c r="H7" i="8"/>
  <c r="H3" i="8"/>
  <c r="H30" i="8"/>
  <c r="H26" i="8"/>
  <c r="H22" i="8"/>
  <c r="H18" i="8"/>
  <c r="H14" i="8"/>
  <c r="H10" i="8"/>
  <c r="H6" i="8"/>
  <c r="H2" i="8"/>
  <c r="H29" i="8"/>
  <c r="H25" i="8"/>
  <c r="H21" i="8"/>
  <c r="H17" i="8"/>
  <c r="H13" i="8"/>
  <c r="H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C31" i="8"/>
  <c r="C27" i="8"/>
  <c r="C23" i="8"/>
  <c r="C19" i="8"/>
  <c r="C15" i="8"/>
  <c r="C11" i="8"/>
  <c r="C7" i="8"/>
  <c r="C3" i="8"/>
  <c r="C30" i="8"/>
  <c r="C26" i="8"/>
  <c r="C22" i="8"/>
  <c r="C18" i="8"/>
  <c r="C14" i="8"/>
  <c r="C10" i="8"/>
  <c r="C6" i="8"/>
  <c r="C2" i="8"/>
  <c r="C29" i="8"/>
  <c r="C25" i="8"/>
  <c r="C21" i="8"/>
  <c r="C17" i="8"/>
  <c r="C13" i="8"/>
  <c r="C9" i="8"/>
  <c r="C5" i="8"/>
  <c r="C32" i="8"/>
  <c r="C28" i="8"/>
  <c r="C24" i="8"/>
  <c r="C20" i="8"/>
  <c r="C16" i="8"/>
  <c r="C12" i="8"/>
  <c r="C8" i="8"/>
  <c r="A2" i="8"/>
  <c r="A3" i="8" s="1"/>
  <c r="B3" i="8" l="1"/>
  <c r="A4" i="8"/>
  <c r="B2" i="8"/>
  <c r="I34" i="8" l="1"/>
  <c r="B4" i="8"/>
  <c r="A5" i="8"/>
  <c r="G34" i="8"/>
  <c r="H34" i="8"/>
  <c r="C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59" i="3" l="1"/>
  <c r="AJ59" i="3" s="1"/>
  <c r="C60" i="5" s="1"/>
  <c r="AH58" i="3"/>
  <c r="AJ58" i="3" s="1"/>
  <c r="M34" i="8" s="1"/>
  <c r="AH57" i="3"/>
  <c r="AJ57" i="3" s="1"/>
  <c r="L34" i="8" s="1"/>
  <c r="AH56" i="3"/>
  <c r="AJ56" i="3" s="1"/>
  <c r="K34" i="8" s="1"/>
  <c r="C59" i="5" l="1"/>
  <c r="C58" i="5"/>
  <c r="C57" i="5"/>
  <c r="AH29" i="3" l="1"/>
  <c r="C44" i="5" l="1"/>
  <c r="C40" i="5"/>
  <c r="C38" i="5"/>
  <c r="C36" i="5"/>
  <c r="C37" i="5" l="1"/>
  <c r="C35" i="5" l="1"/>
  <c r="AH53" i="3" l="1"/>
  <c r="AJ53" i="3" s="1"/>
  <c r="C54" i="5" s="1"/>
  <c r="B8" i="2"/>
  <c r="B1" i="7" l="1"/>
  <c r="AH16" i="3" l="1"/>
  <c r="C11" i="5" s="1"/>
  <c r="AH17" i="3"/>
  <c r="D49" i="3" l="1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Z51" i="3" s="1"/>
  <c r="AA49" i="3"/>
  <c r="AA51" i="3" s="1"/>
  <c r="AB49" i="3"/>
  <c r="AB51" i="3" s="1"/>
  <c r="AC49" i="3"/>
  <c r="AC51" i="3" s="1"/>
  <c r="AD49" i="3"/>
  <c r="AD51" i="3" s="1"/>
  <c r="AE49" i="3"/>
  <c r="AE51" i="3" s="1"/>
  <c r="AF49" i="3"/>
  <c r="AF51" i="3" s="1"/>
  <c r="AG49" i="3"/>
  <c r="AG51" i="3" s="1"/>
  <c r="C49" i="3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7" i="3"/>
  <c r="AH46" i="3"/>
  <c r="AJ46" i="3" s="1"/>
  <c r="AH39" i="3"/>
  <c r="AH33" i="3"/>
  <c r="AH34" i="3"/>
  <c r="C39" i="5" s="1"/>
  <c r="AH35" i="3"/>
  <c r="AH36" i="3"/>
  <c r="AL36" i="3" s="1"/>
  <c r="AH37" i="3"/>
  <c r="AL37" i="3" s="1"/>
  <c r="C47" i="5" s="1"/>
  <c r="C46" i="5" l="1"/>
  <c r="AJ47" i="3"/>
  <c r="C51" i="5" s="1"/>
  <c r="C43" i="5"/>
  <c r="O34" i="8"/>
  <c r="C50" i="5"/>
  <c r="C52" i="5" l="1"/>
  <c r="AH51" i="3"/>
  <c r="AJ51" i="3" s="1"/>
  <c r="AH49" i="3"/>
  <c r="AJ49" i="3" s="1"/>
  <c r="AH25" i="3" l="1"/>
  <c r="C20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2" i="3" l="1"/>
  <c r="F42" i="3"/>
  <c r="G42" i="3"/>
  <c r="H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D38" i="3"/>
  <c r="D40" i="3" s="1"/>
  <c r="E38" i="3"/>
  <c r="E40" i="3" s="1"/>
  <c r="F38" i="3"/>
  <c r="F40" i="3" s="1"/>
  <c r="G38" i="3"/>
  <c r="G40" i="3" s="1"/>
  <c r="H38" i="3"/>
  <c r="H40" i="3" s="1"/>
  <c r="I38" i="3"/>
  <c r="I40" i="3" s="1"/>
  <c r="J38" i="3"/>
  <c r="J40" i="3" s="1"/>
  <c r="K38" i="3"/>
  <c r="K40" i="3" s="1"/>
  <c r="L38" i="3"/>
  <c r="L40" i="3" s="1"/>
  <c r="M38" i="3"/>
  <c r="M40" i="3" s="1"/>
  <c r="N38" i="3"/>
  <c r="N40" i="3" s="1"/>
  <c r="O38" i="3"/>
  <c r="O40" i="3" s="1"/>
  <c r="P38" i="3"/>
  <c r="P40" i="3" s="1"/>
  <c r="Q38" i="3"/>
  <c r="Q40" i="3" s="1"/>
  <c r="R38" i="3"/>
  <c r="R40" i="3" s="1"/>
  <c r="S38" i="3"/>
  <c r="S40" i="3" s="1"/>
  <c r="T38" i="3"/>
  <c r="T40" i="3" s="1"/>
  <c r="U38" i="3"/>
  <c r="U40" i="3" s="1"/>
  <c r="V38" i="3"/>
  <c r="V40" i="3" s="1"/>
  <c r="W38" i="3"/>
  <c r="W40" i="3" s="1"/>
  <c r="X38" i="3"/>
  <c r="X40" i="3" s="1"/>
  <c r="Y38" i="3"/>
  <c r="Y40" i="3" s="1"/>
  <c r="Z38" i="3"/>
  <c r="Z40" i="3" s="1"/>
  <c r="AA38" i="3"/>
  <c r="AA40" i="3" s="1"/>
  <c r="AB38" i="3"/>
  <c r="AB40" i="3" s="1"/>
  <c r="AC38" i="3"/>
  <c r="AC40" i="3" s="1"/>
  <c r="AD38" i="3"/>
  <c r="AD40" i="3" s="1"/>
  <c r="AE38" i="3"/>
  <c r="AE40" i="3" s="1"/>
  <c r="AF38" i="3"/>
  <c r="AF40" i="3" s="1"/>
  <c r="AG38" i="3"/>
  <c r="AG40" i="3" s="1"/>
  <c r="D28" i="3"/>
  <c r="D30" i="3" s="1"/>
  <c r="E28" i="3"/>
  <c r="E30" i="3" s="1"/>
  <c r="F28" i="3"/>
  <c r="F30" i="3" s="1"/>
  <c r="G28" i="3"/>
  <c r="G30" i="3" s="1"/>
  <c r="H28" i="3"/>
  <c r="H30" i="3" s="1"/>
  <c r="I28" i="3"/>
  <c r="I30" i="3" s="1"/>
  <c r="J28" i="3"/>
  <c r="J30" i="3" s="1"/>
  <c r="K28" i="3"/>
  <c r="K30" i="3" s="1"/>
  <c r="L28" i="3"/>
  <c r="L30" i="3" s="1"/>
  <c r="M28" i="3"/>
  <c r="M30" i="3" s="1"/>
  <c r="N28" i="3"/>
  <c r="N30" i="3" s="1"/>
  <c r="O28" i="3"/>
  <c r="O30" i="3" s="1"/>
  <c r="P28" i="3"/>
  <c r="P30" i="3" s="1"/>
  <c r="Q28" i="3"/>
  <c r="Q30" i="3" s="1"/>
  <c r="R28" i="3"/>
  <c r="R30" i="3" s="1"/>
  <c r="S28" i="3"/>
  <c r="S30" i="3" s="1"/>
  <c r="T28" i="3"/>
  <c r="T30" i="3" s="1"/>
  <c r="U28" i="3"/>
  <c r="U30" i="3" s="1"/>
  <c r="V28" i="3"/>
  <c r="V30" i="3" s="1"/>
  <c r="W28" i="3"/>
  <c r="W30" i="3" s="1"/>
  <c r="X28" i="3"/>
  <c r="X30" i="3" s="1"/>
  <c r="Y28" i="3"/>
  <c r="Y30" i="3" s="1"/>
  <c r="Z28" i="3"/>
  <c r="Z30" i="3" s="1"/>
  <c r="AA28" i="3"/>
  <c r="AA30" i="3" s="1"/>
  <c r="AB28" i="3"/>
  <c r="AB30" i="3" s="1"/>
  <c r="AC28" i="3"/>
  <c r="AC30" i="3" s="1"/>
  <c r="AD28" i="3"/>
  <c r="AD30" i="3" s="1"/>
  <c r="AE28" i="3"/>
  <c r="AE30" i="3" s="1"/>
  <c r="AF28" i="3"/>
  <c r="AF30" i="3" s="1"/>
  <c r="AG28" i="3"/>
  <c r="AG30" i="3" s="1"/>
  <c r="AH32" i="3"/>
  <c r="AH4" i="3"/>
  <c r="AH6" i="3"/>
  <c r="AH14" i="3"/>
  <c r="C9" i="5" s="1"/>
  <c r="AH15" i="3"/>
  <c r="C10" i="5" s="1"/>
  <c r="AH18" i="3"/>
  <c r="C13" i="5" s="1"/>
  <c r="AH20" i="3"/>
  <c r="C14" i="5" s="1"/>
  <c r="AH21" i="3"/>
  <c r="C16" i="5" s="1"/>
  <c r="AH22" i="3"/>
  <c r="C17" i="5" s="1"/>
  <c r="AH23" i="3"/>
  <c r="C18" i="5" s="1"/>
  <c r="AH24" i="3"/>
  <c r="C19" i="5" s="1"/>
  <c r="AH26" i="3"/>
  <c r="C21" i="5" s="1"/>
  <c r="AH27" i="3"/>
  <c r="C29" i="5" s="1"/>
  <c r="AH3" i="3"/>
  <c r="C25" i="5" s="1"/>
  <c r="C42" i="3"/>
  <c r="C28" i="3"/>
  <c r="C30" i="3" s="1"/>
  <c r="R40" i="2"/>
  <c r="Q40" i="2"/>
  <c r="P40" i="2"/>
  <c r="O40" i="2"/>
  <c r="R42" i="2" s="1"/>
  <c r="M40" i="2"/>
  <c r="L40" i="2"/>
  <c r="K40" i="2"/>
  <c r="J40" i="2"/>
  <c r="F40" i="2"/>
  <c r="E40" i="2"/>
  <c r="A9" i="2"/>
  <c r="C30" i="5" l="1"/>
  <c r="A10" i="2"/>
  <c r="B9" i="2"/>
  <c r="C40" i="2"/>
  <c r="G40" i="2"/>
  <c r="E42" i="3"/>
  <c r="AH42" i="3" s="1"/>
  <c r="AH30" i="3"/>
  <c r="C38" i="3"/>
  <c r="O42" i="2"/>
  <c r="Q42" i="2"/>
  <c r="C22" i="5" l="1"/>
  <c r="C32" i="5" s="1"/>
  <c r="A11" i="2"/>
  <c r="B10" i="2"/>
  <c r="AL42" i="3"/>
  <c r="AH38" i="3"/>
  <c r="C40" i="3"/>
  <c r="C45" i="5" l="1"/>
  <c r="C48" i="5" s="1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9" l="1" a="1"/>
  <c r="C1" i="3" a="1"/>
  <c r="AG1" i="9" l="1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22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Julie Lancaster</author>
    <author>MartyJo Davis</author>
  </authors>
  <commentList>
    <comment ref="J11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old imported payment plan on customer acct removed from A/R because new membership paid in full
cash-&gt;customer credit receipt 1017774.002 ($50) manually subtracted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membership suspended for non payment, "paid" on account credit when cancelling. No money received</t>
        </r>
      </text>
    </comment>
    <comment ref="AN36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V37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manual payment with note "paid with gift card"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D42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F42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G42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H42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I42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
</t>
        </r>
      </text>
    </comment>
    <comment ref="J42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K42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M42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N42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O42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P42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T42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
</t>
        </r>
      </text>
    </comment>
    <comment ref="U42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
</t>
        </r>
      </text>
    </comment>
    <comment ref="AN42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6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49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1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3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MartyJo Davis</author>
    <author>Julie Lancaster</author>
  </authors>
  <commentList>
    <comment ref="AN2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T26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U26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external cc sales not rung into activenet</t>
        </r>
      </text>
    </comment>
    <comment ref="Y26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cc sale rung up as cash accidentally</t>
        </r>
      </text>
    </comment>
    <comment ref="AC26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more sales were done on Glynn's login after he printed reports, deposited cash based on original report</t>
        </r>
      </text>
    </comment>
    <comment ref="F27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H27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M27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H3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no AM report printed</t>
        </r>
      </text>
    </comment>
    <comment ref="Y3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no morning admission report printed</t>
        </r>
      </text>
    </comment>
    <comment ref="AB38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cashier believes report is inaccurate, more people than got counted in system.</t>
        </r>
      </text>
    </comment>
  </commentList>
</comments>
</file>

<file path=xl/comments4.xml><?xml version="1.0" encoding="utf-8"?>
<comments xmlns="http://schemas.openxmlformats.org/spreadsheetml/2006/main">
  <authors>
    <author>MartyJo Davis</author>
  </authors>
  <commentList>
    <comment ref="B50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<sst xmlns="http://schemas.openxmlformats.org/spreadsheetml/2006/main" count="463" uniqueCount="221">
  <si>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</si>
  <si>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</si>
  <si>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</si>
  <si>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</si>
  <si>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</si>
  <si>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</si>
  <si>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</si>
  <si>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</si>
  <si>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</si>
  <si>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</si>
  <si>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</si>
  <si>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</si>
  <si>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</si>
  <si>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</si>
  <si>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</si>
  <si>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</si>
  <si>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</si>
  <si>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</si>
  <si>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</si>
  <si>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</si>
  <si>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</si>
  <si>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</si>
  <si>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</si>
  <si>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</si>
  <si>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</si>
  <si>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</si>
  <si>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</si>
  <si>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</si>
  <si>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</si>
  <si>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</si>
  <si>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</si>
  <si>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</si>
  <si>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</si>
  <si>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</si>
  <si>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</si>
  <si>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</si>
  <si>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</si>
  <si>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</si>
  <si>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</si>
  <si>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</si>
  <si>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</si>
  <si>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</si>
  <si>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</si>
  <si>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</si>
  <si>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</si>
  <si>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</si>
  <si>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</si>
  <si>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</si>
  <si>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</si>
  <si>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</si>
  <si>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</si>
  <si>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</si>
  <si>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</si>
  <si>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</si>
  <si>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</si>
  <si>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</si>
  <si>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</si>
  <si>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</si>
  <si>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</si>
  <si>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</si>
  <si>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</si>
  <si>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</si>
  <si>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</si>
  <si>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</si>
  <si>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</si>
  <si>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</si>
  <si>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</si>
  <si>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</si>
  <si>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</si>
  <si>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</si>
  <si>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</si>
  <si>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</si>
  <si>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</si>
  <si>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</si>
  <si>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</si>
  <si>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</si>
  <si>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</si>
  <si>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</si>
  <si>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</si>
  <si>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</si>
  <si>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</si>
  <si>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</si>
  <si>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</si>
  <si>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</si>
  <si>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</si>
  <si>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</si>
  <si>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</si>
  <si>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</si>
  <si>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</si>
  <si>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</si>
  <si>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</si>
  <si>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</si>
  <si>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</si>
  <si>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</si>
  <si>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</si>
  <si>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</si>
  <si>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</si>
  <si>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</si>
  <si>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</si>
  <si>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</si>
  <si>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</si>
  <si>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</si>
  <si>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</si>
  <si>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</si>
  <si>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</si>
  <si>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</si>
  <si>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</si>
  <si>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</si>
  <si>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</si>
  <si>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</si>
  <si>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</si>
  <si>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</si>
  <si>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</si>
  <si>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</si>
  <si>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</si>
  <si>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>CC Processor Adjustments Cleared</t>
  </si>
  <si>
    <t>CC Processor Adjustments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</si>
  <si>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</si>
  <si>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</si>
  <si>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</si>
  <si>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</si>
  <si>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</si>
  <si>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</si>
  <si>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</si>
  <si>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</si>
  <si>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</si>
  <si>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</si>
  <si>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</si>
  <si>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</si>
  <si>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</si>
  <si>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</si>
  <si>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</si>
  <si>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</si>
  <si>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</si>
  <si>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</si>
  <si>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</si>
  <si>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</si>
  <si>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</si>
  <si>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</si>
  <si>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</si>
  <si>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</si>
  <si>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</si>
  <si>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</si>
  <si>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</si>
  <si>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</si>
  <si>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</si>
  <si>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</si>
  <si>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</si>
  <si>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</si>
  <si>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</si>
  <si>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</si>
  <si>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</si>
  <si>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</si>
  <si>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</si>
  <si>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</si>
  <si>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</si>
  <si>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</si>
  <si>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</si>
  <si>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</si>
  <si>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</si>
  <si>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</si>
  <si>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</si>
  <si>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</si>
  <si>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</si>
  <si>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</si>
  <si>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</si>
  <si>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</si>
  <si>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</si>
  <si>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</si>
  <si>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</si>
  <si>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</si>
  <si>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</si>
  <si>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</si>
  <si>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</si>
  <si>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</si>
  <si>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Admission - Motel Pass (Bulk)</t>
  </si>
  <si>
    <t>Redeemed Gift Certificates</t>
  </si>
  <si>
    <t>Pool Admissions + Motel Bulk Admission +50% Pool/Gym Rev. - Admission Discounts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</si>
  <si>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</si>
  <si>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</si>
  <si>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</si>
  <si>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</si>
  <si>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</si>
  <si>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</si>
  <si>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</si>
  <si>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</si>
  <si>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</si>
  <si>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</si>
  <si>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</si>
  <si>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</si>
  <si>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</si>
  <si>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</si>
  <si>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</si>
  <si>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</si>
  <si>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</si>
  <si>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</si>
  <si>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</si>
  <si>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</si>
  <si>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</si>
  <si>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All pool memberships + 50% pool/gym memberships</t>
  </si>
  <si>
    <t>Gym only passes/memberships + 50% pool/gym rev.</t>
  </si>
  <si>
    <t>Slide Add-on</t>
  </si>
  <si>
    <t>10-45-4205</t>
  </si>
  <si>
    <t>Processing Fees</t>
  </si>
  <si>
    <t>50-50-6150</t>
  </si>
  <si>
    <t>CC Processing Fees</t>
  </si>
  <si>
    <t>CC Processing Fees Cleared</t>
  </si>
  <si>
    <t>CC Processing Fees Outstanding</t>
  </si>
  <si>
    <t>Pool Credit Card less processing fees</t>
  </si>
  <si>
    <t>Child (3 and Under)</t>
  </si>
  <si>
    <t>Concessions</t>
  </si>
  <si>
    <t>Credit Card (less processing fees)</t>
  </si>
  <si>
    <t>50-51-6150</t>
  </si>
  <si>
    <t>BC CC Processing Fees Cleared</t>
  </si>
  <si>
    <t>BC CC Processing Fees Outstanding</t>
  </si>
  <si>
    <t>AM External Credit Card</t>
  </si>
  <si>
    <t>PM External Credit Card</t>
  </si>
  <si>
    <t>External Credit Card</t>
  </si>
  <si>
    <t>Box Cañon External CC Cleared</t>
  </si>
  <si>
    <t>Box Cañon External CC Outstanding</t>
  </si>
  <si>
    <t xml:space="preserve">June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</si>
</sst>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6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43" fontId="21" fillId="0" borderId="0" xfId="0" applyNumberFormat="1" applyFont="1" applyBorder="1" applyProtection="1">
      <protection locked="0"/>
    </xf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0" fontId="12" fillId="0" borderId="37" xfId="0" applyFont="1" applyBorder="1" applyAlignment="1" applyProtection="1">
      <alignment horizontal="right"/>
      <protection locked="0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9" xfId="0" applyFont="1" applyBorder="1" applyAlignment="1" applyProtection="1">
      <alignment horizontal="right"/>
    </xf>
    <xf numFmtId="41" fontId="21" fillId="0" borderId="75" xfId="0" applyNumberFormat="1" applyFont="1" applyBorder="1" applyProtection="1"/>
    <xf numFmtId="41" fontId="0" fillId="0" borderId="76" xfId="0" applyNumberFormat="1" applyBorder="1" applyProtection="1"/>
    <xf numFmtId="41" fontId="0" fillId="0" borderId="77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67" xfId="0" applyNumberFormat="1" applyFont="1" applyFill="1" applyBorder="1" applyProtection="1"/>
    <xf numFmtId="43" fontId="14" fillId="0" borderId="78" xfId="0" applyNumberFormat="1" applyFont="1" applyFill="1" applyBorder="1" applyProtection="1"/>
    <xf numFmtId="0" fontId="14" fillId="3" borderId="79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0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1" xfId="0" applyNumberFormat="1" applyFont="1" applyBorder="1" applyProtection="1"/>
    <xf numFmtId="43" fontId="12" fillId="0" borderId="82" xfId="0" applyNumberFormat="1" applyFont="1" applyBorder="1" applyProtection="1"/>
    <xf numFmtId="0" fontId="12" fillId="0" borderId="83" xfId="0" applyFont="1" applyFill="1" applyBorder="1" applyProtection="1"/>
    <xf numFmtId="0" fontId="0" fillId="0" borderId="84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0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13" fillId="0" borderId="0" xfId="0" applyFont="1" applyBorder="1" applyProtection="1"/>
    <xf numFmtId="43" fontId="13" fillId="0" borderId="0" xfId="0" applyNumberFormat="1" applyFont="1" applyBorder="1" applyProtection="1"/>
    <xf numFmtId="43" fontId="14" fillId="0" borderId="0" xfId="0" applyNumberFormat="1" applyFont="1" applyFill="1" applyBorder="1" applyProtection="1"/>
    <xf numFmtId="0" fontId="13" fillId="0" borderId="72" xfId="0" applyFont="1" applyBorder="1" applyProtection="1"/>
    <xf numFmtId="0" fontId="13" fillId="0" borderId="73" xfId="0" applyFont="1" applyBorder="1" applyProtection="1"/>
    <xf numFmtId="43" fontId="13" fillId="0" borderId="73" xfId="0" applyNumberFormat="1" applyFont="1" applyBorder="1" applyProtection="1"/>
    <xf numFmtId="43" fontId="14" fillId="0" borderId="64" xfId="0" applyNumberFormat="1" applyFont="1" applyFill="1" applyBorder="1" applyProtection="1"/>
    <xf numFmtId="43" fontId="12" fillId="0" borderId="17" xfId="0" applyNumberFormat="1" applyFont="1" applyFill="1" applyBorder="1" applyAlignment="1" applyProtection="1">
      <alignment horizontal="center"/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0" fontId="12" fillId="0" borderId="18" xfId="0" applyFont="1" applyBorder="1" applyProtection="1"/>
    <xf numFmtId="0" fontId="12" fillId="0" borderId="20" xfId="0" applyFont="1" applyBorder="1" applyProtection="1"/>
    <xf numFmtId="0" fontId="12" fillId="0" borderId="23" xfId="0" applyFont="1" applyBorder="1"/>
    <xf numFmtId="0" fontId="0" fillId="0" borderId="57" xfId="0" applyBorder="1" applyProtection="1"/>
    <xf numFmtId="0" fontId="12" fillId="0" borderId="85" xfId="0" applyFont="1" applyBorder="1" applyProtection="1"/>
    <xf numFmtId="43" fontId="12" fillId="0" borderId="18" xfId="0" applyNumberFormat="1" applyFont="1" applyBorder="1" applyProtection="1"/>
    <xf numFmtId="43" fontId="12" fillId="0" borderId="20" xfId="0" applyNumberFormat="1" applyFont="1" applyBorder="1" applyProtection="1"/>
    <xf numFmtId="43" fontId="12" fillId="0" borderId="23" xfId="0" applyNumberFormat="1" applyFont="1" applyBorder="1"/>
    <xf numFmtId="0" fontId="12" fillId="0" borderId="62" xfId="0" applyFont="1" applyBorder="1" applyProtection="1"/>
    <xf numFmtId="43" fontId="12" fillId="0" borderId="28" xfId="0" applyNumberFormat="1" applyFont="1" applyFill="1" applyBorder="1" applyProtection="1"/>
    <xf numFmtId="43" fontId="12" fillId="0" borderId="29" xfId="0" applyNumberFormat="1" applyFont="1" applyFill="1" applyBorder="1" applyProtection="1"/>
    <xf numFmtId="43" fontId="12" fillId="0" borderId="62" xfId="0" applyNumberFormat="1" applyFont="1" applyBorder="1" applyProtection="1"/>
    <xf numFmtId="43" fontId="14" fillId="0" borderId="86" xfId="0" applyNumberFormat="1" applyFont="1" applyFill="1" applyBorder="1" applyProtection="1"/>
    <xf numFmtId="43" fontId="12" fillId="7" borderId="19" xfId="0" applyNumberFormat="1" applyFont="1" applyFill="1" applyBorder="1" applyProtection="1"/>
    <xf numFmtId="43" fontId="12" fillId="7" borderId="9" xfId="0" applyNumberFormat="1" applyFont="1" applyFill="1" applyBorder="1" applyProtection="1"/>
    <xf numFmtId="0" fontId="12" fillId="7" borderId="46" xfId="0" applyFont="1" applyFill="1" applyBorder="1" applyProtection="1"/>
    <xf numFmtId="43" fontId="41" fillId="7" borderId="9" xfId="0" applyNumberFormat="1" applyFont="1" applyFill="1" applyBorder="1" applyProtection="1">
      <protection locked="0"/>
    </xf>
    <xf numFmtId="43" fontId="13" fillId="7" borderId="73" xfId="0" applyNumberFormat="1" applyFont="1" applyFill="1" applyBorder="1" applyProtection="1"/>
    <xf numFmtId="43" fontId="45" fillId="0" borderId="9" xfId="0" applyNumberFormat="1" applyFont="1" applyBorder="1" applyProtection="1"/>
    <xf numFmtId="43" fontId="45" fillId="0" borderId="17" xfId="0" applyNumberFormat="1" applyFont="1" applyBorder="1" applyProtection="1"/>
    <xf numFmtId="41" fontId="0" fillId="0" borderId="60" xfId="0" applyNumberFormat="1" applyBorder="1" applyProtection="1"/>
    <xf numFmtId="41" fontId="0" fillId="0" borderId="87" xfId="0" applyNumberFormat="1" applyBorder="1" applyProtection="1"/>
    <xf numFmtId="41" fontId="21" fillId="0" borderId="87" xfId="0" applyNumberFormat="1" applyFont="1" applyBorder="1" applyProtection="1"/>
    <xf numFmtId="41" fontId="2" fillId="3" borderId="88" xfId="0" applyNumberFormat="1" applyFont="1" applyFill="1" applyBorder="1" applyProtection="1"/>
    <xf numFmtId="41" fontId="21" fillId="0" borderId="62" xfId="0" applyNumberFormat="1" applyFont="1" applyBorder="1" applyProtection="1"/>
    <xf numFmtId="2" fontId="14" fillId="0" borderId="47" xfId="0" applyNumberFormat="1" applyFont="1" applyFill="1" applyBorder="1" applyProtection="1"/>
    <xf numFmtId="43" fontId="42" fillId="7" borderId="9" xfId="0" applyNumberFormat="1" applyFont="1" applyFill="1" applyBorder="1" applyProtection="1">
      <protection locked="0"/>
    </xf>
    <xf numFmtId="0" fontId="45" fillId="7" borderId="46" xfId="0" applyFont="1" applyFill="1" applyBorder="1" applyProtection="1"/>
    <xf numFmtId="43" fontId="42" fillId="7" borderId="73" xfId="0" applyNumberFormat="1" applyFont="1" applyFill="1" applyBorder="1" applyProtection="1"/>
    <xf numFmtId="43" fontId="45" fillId="7" borderId="9" xfId="0" applyNumberFormat="1" applyFont="1" applyFill="1" applyBorder="1" applyProtection="1"/>
    <xf numFmtId="43" fontId="45" fillId="0" borderId="29" xfId="0" applyNumberFormat="1" applyFont="1" applyBorder="1" applyProtection="1"/>
    <xf numFmtId="43" fontId="12" fillId="0" borderId="30" xfId="0" applyNumberFormat="1" applyFont="1" applyBorder="1" applyProtection="1"/>
    <xf numFmtId="43" fontId="12" fillId="0" borderId="46" xfId="0" applyNumberFormat="1" applyFont="1" applyBorder="1" applyProtection="1"/>
    <xf numFmtId="43" fontId="12" fillId="0" borderId="47" xfId="0" applyNumberFormat="1" applyFont="1" applyBorder="1" applyProtection="1"/>
    <xf numFmtId="43" fontId="13" fillId="0" borderId="0" xfId="0" applyNumberFormat="1" applyFont="1" applyProtection="1">
      <protection locked="0"/>
    </xf>
    <xf numFmtId="44" fontId="13" fillId="0" borderId="0" xfId="0" applyNumberFormat="1" applyFont="1" applyProtection="1">
      <protection locked="0"/>
    </xf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2" xfId="0" applyFont="1" applyFill="1" applyBorder="1" applyAlignment="1" applyProtection="1">
      <alignment horizontal="center"/>
    </xf>
    <xf numFmtId="0" fontId="2" fillId="2" borderId="73" xfId="0" applyFont="1" applyFill="1" applyBorder="1" applyAlignment="1" applyProtection="1">
      <alignment horizontal="center"/>
    </xf>
    <xf numFmtId="0" fontId="2" fillId="2" borderId="74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0"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  <color rgb="FFCC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A9" sqref="A9"/>
    </sheetView>
  </sheetViews>
  <sheetFormatPr defaultColWidth="8.85546875" defaultRowHeight="12.75" x14ac:dyDescent="0.2"/>
  <cols>
    <col min="1" max="1" width="10.140625" style="2" bestFit="1" customWidth="1"/>
    <col min="2" max="2" width="4.5703125" style="230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85" t="s">
        <v>220</v>
      </c>
      <c r="D1" s="386">
        <v>2022</v>
      </c>
      <c r="G1" s="218"/>
    </row>
    <row r="3" spans="1:22" x14ac:dyDescent="0.2">
      <c r="A3" s="5"/>
    </row>
    <row r="4" spans="1:22" s="1" customFormat="1" x14ac:dyDescent="0.2">
      <c r="B4" s="231"/>
      <c r="C4" s="490" t="s">
        <v>1</v>
      </c>
      <c r="D4" s="491"/>
      <c r="E4" s="491"/>
      <c r="F4" s="491"/>
      <c r="G4" s="491"/>
      <c r="H4" s="491"/>
      <c r="I4" s="491"/>
      <c r="J4" s="491"/>
      <c r="K4" s="491"/>
      <c r="L4" s="491"/>
      <c r="M4" s="492"/>
      <c r="N4" s="6"/>
      <c r="O4" s="493" t="s">
        <v>2</v>
      </c>
      <c r="P4" s="494"/>
      <c r="Q4" s="494"/>
      <c r="R4" s="495"/>
      <c r="S4" s="7"/>
      <c r="T4" s="8" t="s">
        <v>3</v>
      </c>
    </row>
    <row r="5" spans="1:22" x14ac:dyDescent="0.2">
      <c r="B5" s="232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4" t="s">
        <v>7</v>
      </c>
      <c r="J5" s="154" t="s">
        <v>8</v>
      </c>
      <c r="K5" s="154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31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109</v>
      </c>
      <c r="H6" s="14" t="s">
        <v>100</v>
      </c>
      <c r="I6" s="155" t="s">
        <v>12</v>
      </c>
      <c r="J6" s="155" t="s">
        <v>12</v>
      </c>
      <c r="K6" s="155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3"/>
      <c r="C7" s="19"/>
      <c r="D7" s="20"/>
      <c r="E7" s="21"/>
      <c r="F7" s="21"/>
      <c r="G7" s="20"/>
      <c r="H7" s="20"/>
      <c r="I7" s="151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87">
        <v>44713</v>
      </c>
      <c r="B8" s="233" t="str">
        <f>TEXT(A8, "DDD")</f>
        <v>Wed</v>
      </c>
      <c r="C8" s="152">
        <f t="array" ref="C8:C38">TRANSPOSE(Pool!C32:AG32)</f>
        <v>1412.7</v>
      </c>
      <c r="D8" s="58">
        <f>'Box Canon'!C18+'Box Canon'!C19</f>
        <v>1276.96</v>
      </c>
      <c r="E8" s="21"/>
      <c r="F8" s="21"/>
      <c r="G8" s="151">
        <f t="array" ref="G8:G38">TRANSPOSE(Pool!C33:AG33)</f>
        <v>6413.83</v>
      </c>
      <c r="H8" s="151">
        <f t="array" ref="H8:H38">TRANSPOSE(Pool!C34:AG34)</f>
        <v>0</v>
      </c>
      <c r="I8" s="151">
        <f>'Box Canon'!C20+'Box Canon'!C21</f>
        <v>1075.77</v>
      </c>
      <c r="J8" s="149"/>
      <c r="K8" s="149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7">
        <f>SUM(A8+1)</f>
        <v>44714</v>
      </c>
      <c r="B9" s="233" t="str">
        <f t="shared" ref="B9:B38" si="0">TEXT(A9, "DDD")</f>
        <v>Thu</v>
      </c>
      <c r="C9" s="152">
        <v>1626.77</v>
      </c>
      <c r="D9" s="58">
        <f>'Box Canon'!D18+'Box Canon'!D19</f>
        <v>1030.6600000000001</v>
      </c>
      <c r="E9" s="21"/>
      <c r="F9" s="21"/>
      <c r="G9" s="151">
        <v>5569.43</v>
      </c>
      <c r="H9" s="151">
        <v>0</v>
      </c>
      <c r="I9" s="151">
        <f>'Box Canon'!D20+'Box Canon'!D21</f>
        <v>1259.51</v>
      </c>
      <c r="J9" s="149"/>
      <c r="K9" s="149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7">
        <f t="shared" ref="A10:A38" si="1">SUM(A9+1)</f>
        <v>44715</v>
      </c>
      <c r="B10" s="233" t="str">
        <f t="shared" si="0"/>
        <v>Fri</v>
      </c>
      <c r="C10" s="152">
        <v>2079.1999999999998</v>
      </c>
      <c r="D10" s="58">
        <f>'Box Canon'!E18+'Box Canon'!E19</f>
        <v>1227.06</v>
      </c>
      <c r="E10" s="21"/>
      <c r="F10" s="21"/>
      <c r="G10" s="151">
        <v>6013.51</v>
      </c>
      <c r="H10" s="151">
        <v>0</v>
      </c>
      <c r="I10" s="151">
        <f>'Box Canon'!E20+'Box Canon'!E21</f>
        <v>1087.6500000000001</v>
      </c>
      <c r="J10" s="149"/>
      <c r="K10" s="149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7">
        <f t="shared" si="1"/>
        <v>44716</v>
      </c>
      <c r="B11" s="233" t="str">
        <f t="shared" si="0"/>
        <v>Sat</v>
      </c>
      <c r="C11" s="152">
        <v>3196.83</v>
      </c>
      <c r="D11" s="58">
        <f>'Box Canon'!F18+'Box Canon'!F19</f>
        <v>1461.96</v>
      </c>
      <c r="E11" s="21"/>
      <c r="F11" s="21"/>
      <c r="G11" s="151">
        <v>9589.0300000000007</v>
      </c>
      <c r="H11" s="153">
        <v>0</v>
      </c>
      <c r="I11" s="151">
        <f>'Box Canon'!F20+'Box Canon'!F21</f>
        <v>1552.74</v>
      </c>
      <c r="J11" s="149"/>
      <c r="K11" s="149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7">
        <f t="shared" si="1"/>
        <v>44717</v>
      </c>
      <c r="B12" s="233" t="str">
        <f t="shared" si="0"/>
        <v>Sun</v>
      </c>
      <c r="C12" s="152">
        <v>2083.41</v>
      </c>
      <c r="D12" s="58">
        <f>'Box Canon'!G18+'Box Canon'!G19</f>
        <v>1211.7</v>
      </c>
      <c r="E12" s="21"/>
      <c r="F12" s="21"/>
      <c r="G12" s="151">
        <v>7533.3</v>
      </c>
      <c r="H12" s="153">
        <v>0</v>
      </c>
      <c r="I12" s="151">
        <f>'Box Canon'!G20+'Box Canon'!G21</f>
        <v>1464.15</v>
      </c>
      <c r="J12" s="149"/>
      <c r="K12" s="149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7">
        <f t="shared" si="1"/>
        <v>44718</v>
      </c>
      <c r="B13" s="233" t="str">
        <f t="shared" si="0"/>
        <v>Mon</v>
      </c>
      <c r="C13" s="152">
        <v>2395.52</v>
      </c>
      <c r="D13" s="58">
        <f>'Box Canon'!H18+'Box Canon'!H19</f>
        <v>1121.17</v>
      </c>
      <c r="E13" s="21"/>
      <c r="F13" s="21"/>
      <c r="G13" s="151">
        <v>10177.879999999999</v>
      </c>
      <c r="H13" s="153">
        <v>0</v>
      </c>
      <c r="I13" s="151">
        <f>'Box Canon'!H20+'Box Canon'!H21</f>
        <v>1181.81</v>
      </c>
      <c r="J13" s="149"/>
      <c r="K13" s="149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7">
        <f t="shared" si="1"/>
        <v>44719</v>
      </c>
      <c r="B14" s="233" t="str">
        <f t="shared" si="0"/>
        <v>Tue</v>
      </c>
      <c r="C14" s="152">
        <v>1243.3499999999999</v>
      </c>
      <c r="D14" s="58">
        <f>'Box Canon'!I18+'Box Canon'!I19</f>
        <v>1130.01</v>
      </c>
      <c r="E14" s="21"/>
      <c r="F14" s="21"/>
      <c r="G14" s="151">
        <v>7344.41</v>
      </c>
      <c r="H14" s="153">
        <v>0</v>
      </c>
      <c r="I14" s="151">
        <f>'Box Canon'!I20+'Box Canon'!I21</f>
        <v>1207.01</v>
      </c>
      <c r="J14" s="149"/>
      <c r="K14" s="149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7">
        <f t="shared" si="1"/>
        <v>44720</v>
      </c>
      <c r="B15" s="233" t="str">
        <f t="shared" si="0"/>
        <v>Wed</v>
      </c>
      <c r="C15" s="152">
        <v>1961.66</v>
      </c>
      <c r="D15" s="58">
        <f>'Box Canon'!J18+'Box Canon'!J19</f>
        <v>1345.47</v>
      </c>
      <c r="E15" s="21"/>
      <c r="F15" s="21"/>
      <c r="G15" s="151">
        <v>8059.17</v>
      </c>
      <c r="H15" s="153">
        <v>0</v>
      </c>
      <c r="I15" s="151">
        <f>'Box Canon'!J20+'Box Canon'!J21</f>
        <v>1412.3899999999999</v>
      </c>
      <c r="J15" s="149"/>
      <c r="K15" s="149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7">
        <f t="shared" si="1"/>
        <v>44721</v>
      </c>
      <c r="B16" s="233" t="str">
        <f t="shared" si="0"/>
        <v>Thu</v>
      </c>
      <c r="C16" s="152">
        <v>1515.42</v>
      </c>
      <c r="D16" s="58">
        <f>'Box Canon'!K18+'Box Canon'!K19</f>
        <v>1028.8700000000001</v>
      </c>
      <c r="E16" s="21"/>
      <c r="F16" s="21"/>
      <c r="G16" s="151">
        <v>7859.57</v>
      </c>
      <c r="H16" s="153">
        <v>0</v>
      </c>
      <c r="I16" s="151">
        <f>'Box Canon'!K20+'Box Canon'!K21</f>
        <v>1061.28</v>
      </c>
      <c r="J16" s="149"/>
      <c r="K16" s="149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7">
        <f t="shared" si="1"/>
        <v>44722</v>
      </c>
      <c r="B17" s="233" t="str">
        <f t="shared" si="0"/>
        <v>Fri</v>
      </c>
      <c r="C17" s="152">
        <v>1729.48</v>
      </c>
      <c r="D17" s="58">
        <f>'Box Canon'!L18+'Box Canon'!L19</f>
        <v>970.57999999999993</v>
      </c>
      <c r="E17" s="21"/>
      <c r="F17" s="21"/>
      <c r="G17" s="151">
        <v>8865.19</v>
      </c>
      <c r="H17" s="153">
        <v>0</v>
      </c>
      <c r="I17" s="151">
        <f>'Box Canon'!L20+'Box Canon'!L21</f>
        <v>1352.98</v>
      </c>
      <c r="J17" s="149"/>
      <c r="K17" s="149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7">
        <f t="shared" si="1"/>
        <v>44723</v>
      </c>
      <c r="B18" s="233" t="str">
        <f t="shared" si="0"/>
        <v>Sat</v>
      </c>
      <c r="C18" s="152">
        <v>3619.09</v>
      </c>
      <c r="D18" s="58">
        <f>'Box Canon'!M18+'Box Canon'!M19</f>
        <v>1498.12</v>
      </c>
      <c r="E18" s="21"/>
      <c r="F18" s="21"/>
      <c r="G18" s="151">
        <v>12571.6</v>
      </c>
      <c r="H18" s="153">
        <v>0</v>
      </c>
      <c r="I18" s="151">
        <f>'Box Canon'!M20+'Box Canon'!M21</f>
        <v>1842.97</v>
      </c>
      <c r="J18" s="149"/>
      <c r="K18" s="150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7">
        <f t="shared" si="1"/>
        <v>44724</v>
      </c>
      <c r="B19" s="233" t="str">
        <f t="shared" si="0"/>
        <v>Sun</v>
      </c>
      <c r="C19" s="152">
        <v>3133.13</v>
      </c>
      <c r="D19" s="58">
        <f>'Box Canon'!N18+'Box Canon'!N19</f>
        <v>1324.99</v>
      </c>
      <c r="E19" s="21"/>
      <c r="F19" s="21"/>
      <c r="G19" s="151">
        <v>9808.06</v>
      </c>
      <c r="H19" s="153">
        <v>0</v>
      </c>
      <c r="I19" s="151">
        <f>'Box Canon'!N20+'Box Canon'!N21</f>
        <v>1644.3200000000002</v>
      </c>
      <c r="J19" s="149"/>
      <c r="K19" s="149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7">
        <f t="shared" si="1"/>
        <v>44725</v>
      </c>
      <c r="B20" s="233" t="str">
        <f t="shared" si="0"/>
        <v>Mon</v>
      </c>
      <c r="C20" s="152">
        <v>1620.98</v>
      </c>
      <c r="D20" s="58">
        <f>'Box Canon'!O18+'Box Canon'!O19</f>
        <v>1162.8</v>
      </c>
      <c r="E20" s="21"/>
      <c r="F20" s="21"/>
      <c r="G20" s="151">
        <v>7363.61</v>
      </c>
      <c r="H20" s="153">
        <v>0</v>
      </c>
      <c r="I20" s="151">
        <f>'Box Canon'!O20+'Box Canon'!O21</f>
        <v>1207.1600000000001</v>
      </c>
      <c r="J20" s="149"/>
      <c r="K20" s="149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7">
        <f t="shared" si="1"/>
        <v>44726</v>
      </c>
      <c r="B21" s="233" t="str">
        <f t="shared" si="0"/>
        <v>Tue</v>
      </c>
      <c r="C21" s="152">
        <v>2449.25</v>
      </c>
      <c r="D21" s="58">
        <f>'Box Canon'!P18+'Box Canon'!P19</f>
        <v>1471.6299999999999</v>
      </c>
      <c r="E21" s="41"/>
      <c r="F21" s="21"/>
      <c r="G21" s="151">
        <v>9880.15</v>
      </c>
      <c r="H21" s="153">
        <v>0</v>
      </c>
      <c r="I21" s="151">
        <f>'Box Canon'!P20+'Box Canon'!P21</f>
        <v>1568.06</v>
      </c>
      <c r="J21" s="149"/>
      <c r="K21" s="149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7">
        <f t="shared" si="1"/>
        <v>44727</v>
      </c>
      <c r="B22" s="233" t="str">
        <f t="shared" si="0"/>
        <v>Wed</v>
      </c>
      <c r="C22" s="152">
        <v>2356.89</v>
      </c>
      <c r="D22" s="58">
        <f>'Box Canon'!Q18+'Box Canon'!Q19</f>
        <v>1719.2800000000002</v>
      </c>
      <c r="E22" s="21"/>
      <c r="F22" s="21"/>
      <c r="G22" s="151">
        <v>8884.4699999999993</v>
      </c>
      <c r="H22" s="153">
        <v>0</v>
      </c>
      <c r="I22" s="151">
        <f>'Box Canon'!Q20+'Box Canon'!Q21</f>
        <v>1542.81</v>
      </c>
      <c r="J22" s="149"/>
      <c r="K22" s="149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7">
        <f t="shared" si="1"/>
        <v>44728</v>
      </c>
      <c r="B23" s="233" t="str">
        <f t="shared" si="0"/>
        <v>Thu</v>
      </c>
      <c r="C23" s="152">
        <v>1740.11</v>
      </c>
      <c r="D23" s="58">
        <f>'Box Canon'!R18+'Box Canon'!R19</f>
        <v>1208.46</v>
      </c>
      <c r="E23" s="21"/>
      <c r="F23" s="21"/>
      <c r="G23" s="151">
        <v>5757</v>
      </c>
      <c r="H23" s="153">
        <v>0</v>
      </c>
      <c r="I23" s="151">
        <f>'Box Canon'!R20+'Box Canon'!R21</f>
        <v>1631.01</v>
      </c>
      <c r="J23" s="149"/>
      <c r="K23" s="149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7">
        <f t="shared" si="1"/>
        <v>44729</v>
      </c>
      <c r="B24" s="233" t="str">
        <f t="shared" si="0"/>
        <v>Fri</v>
      </c>
      <c r="C24" s="152">
        <v>1209.96</v>
      </c>
      <c r="D24" s="58">
        <f>'Box Canon'!S18+'Box Canon'!S19</f>
        <v>1139.8400000000001</v>
      </c>
      <c r="E24" s="21"/>
      <c r="F24" s="21"/>
      <c r="G24" s="151">
        <v>8809.5</v>
      </c>
      <c r="H24" s="153">
        <v>0</v>
      </c>
      <c r="I24" s="151">
        <f>'Box Canon'!S20+'Box Canon'!S21</f>
        <v>1458.88</v>
      </c>
      <c r="J24" s="149"/>
      <c r="K24" s="149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7">
        <f t="shared" si="1"/>
        <v>44730</v>
      </c>
      <c r="B25" s="233" t="str">
        <f t="shared" si="0"/>
        <v>Sat</v>
      </c>
      <c r="C25" s="152">
        <v>2171.17</v>
      </c>
      <c r="D25" s="58">
        <f>'Box Canon'!T18+'Box Canon'!T19</f>
        <v>1332.75</v>
      </c>
      <c r="E25" s="21"/>
      <c r="F25" s="21"/>
      <c r="G25" s="151">
        <v>10021.57</v>
      </c>
      <c r="H25" s="153">
        <v>0</v>
      </c>
      <c r="I25" s="151">
        <f>'Box Canon'!T20+'Box Canon'!T21</f>
        <v>1701.6299999999999</v>
      </c>
      <c r="J25" s="149"/>
      <c r="K25" s="149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7">
        <f t="shared" si="1"/>
        <v>44731</v>
      </c>
      <c r="B26" s="233" t="str">
        <f t="shared" si="0"/>
        <v>Sun</v>
      </c>
      <c r="C26" s="152">
        <v>738.49</v>
      </c>
      <c r="D26" s="58">
        <f>'Box Canon'!U18+'Box Canon'!U19</f>
        <v>1165.6500000000001</v>
      </c>
      <c r="E26" s="21"/>
      <c r="F26" s="21"/>
      <c r="G26" s="151">
        <v>4460.96</v>
      </c>
      <c r="H26" s="153">
        <v>0</v>
      </c>
      <c r="I26" s="151">
        <f>'Box Canon'!U20+'Box Canon'!U21</f>
        <v>1368.04</v>
      </c>
      <c r="J26" s="149"/>
      <c r="K26" s="149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7">
        <f t="shared" si="1"/>
        <v>44732</v>
      </c>
      <c r="B27" s="233" t="str">
        <f t="shared" si="0"/>
        <v>Mon</v>
      </c>
      <c r="C27" s="152">
        <v>2038.25</v>
      </c>
      <c r="D27" s="58">
        <f>'Box Canon'!V18+'Box Canon'!V19</f>
        <v>1328.76</v>
      </c>
      <c r="E27" s="21"/>
      <c r="F27" s="21"/>
      <c r="G27" s="151">
        <v>13081.3</v>
      </c>
      <c r="H27" s="153">
        <v>0</v>
      </c>
      <c r="I27" s="151">
        <f>'Box Canon'!V20+'Box Canon'!V21</f>
        <v>1549.01</v>
      </c>
      <c r="J27" s="149"/>
      <c r="K27" s="149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7">
        <f t="shared" si="1"/>
        <v>44733</v>
      </c>
      <c r="B28" s="233" t="str">
        <f t="shared" si="0"/>
        <v>Tue</v>
      </c>
      <c r="C28" s="152">
        <v>2207.84</v>
      </c>
      <c r="D28" s="58">
        <f>'Box Canon'!W18+'Box Canon'!W19</f>
        <v>1374.29</v>
      </c>
      <c r="E28" s="21"/>
      <c r="F28" s="21"/>
      <c r="G28" s="151">
        <v>10208.75</v>
      </c>
      <c r="H28" s="153">
        <v>0</v>
      </c>
      <c r="I28" s="151">
        <f>'Box Canon'!W20+'Box Canon'!W21</f>
        <v>1693.6699999999998</v>
      </c>
      <c r="J28" s="149"/>
      <c r="K28" s="149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7">
        <f t="shared" si="1"/>
        <v>44734</v>
      </c>
      <c r="B29" s="233" t="str">
        <f t="shared" si="0"/>
        <v>Wed</v>
      </c>
      <c r="C29" s="152">
        <v>1536.52</v>
      </c>
      <c r="D29" s="58">
        <f>'Box Canon'!X18+'Box Canon'!X19</f>
        <v>1212.5</v>
      </c>
      <c r="E29" s="21"/>
      <c r="F29" s="21"/>
      <c r="G29" s="151">
        <v>8007.86</v>
      </c>
      <c r="H29" s="153">
        <v>0</v>
      </c>
      <c r="I29" s="151">
        <f>'Box Canon'!X20+'Box Canon'!X21</f>
        <v>1429.96</v>
      </c>
      <c r="J29" s="149"/>
      <c r="K29" s="149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7">
        <f t="shared" si="1"/>
        <v>44735</v>
      </c>
      <c r="B30" s="233" t="str">
        <f t="shared" si="0"/>
        <v>Thu</v>
      </c>
      <c r="C30" s="152">
        <v>1054.69</v>
      </c>
      <c r="D30" s="58">
        <f>'Box Canon'!Y18+'Box Canon'!Y19</f>
        <v>1254.27</v>
      </c>
      <c r="E30" s="21"/>
      <c r="F30" s="21"/>
      <c r="G30" s="151">
        <v>4406.49</v>
      </c>
      <c r="H30" s="153">
        <v>0</v>
      </c>
      <c r="I30" s="151">
        <f>'Box Canon'!Y20+'Box Canon'!Y21</f>
        <v>1573.5500000000002</v>
      </c>
      <c r="J30" s="149"/>
      <c r="K30" s="149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7">
        <f t="shared" si="1"/>
        <v>44736</v>
      </c>
      <c r="B31" s="233" t="str">
        <f t="shared" si="0"/>
        <v>Fri</v>
      </c>
      <c r="C31" s="152">
        <v>2247.41</v>
      </c>
      <c r="D31" s="58">
        <f>'Box Canon'!Z18+'Box Canon'!Z19</f>
        <v>1354.12</v>
      </c>
      <c r="E31" s="21"/>
      <c r="F31" s="21"/>
      <c r="G31" s="151">
        <v>11569.93</v>
      </c>
      <c r="H31" s="153">
        <v>0</v>
      </c>
      <c r="I31" s="151">
        <f>'Box Canon'!Z20+'Box Canon'!Z21</f>
        <v>1587.08</v>
      </c>
      <c r="J31" s="149"/>
      <c r="K31" s="149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7">
        <f t="shared" si="1"/>
        <v>44737</v>
      </c>
      <c r="B32" s="233" t="str">
        <f t="shared" si="0"/>
        <v>Sat</v>
      </c>
      <c r="C32" s="152">
        <v>3255.29</v>
      </c>
      <c r="D32" s="58">
        <f>'Box Canon'!AA18+'Box Canon'!AA19</f>
        <v>1722.72</v>
      </c>
      <c r="E32" s="21"/>
      <c r="F32" s="21"/>
      <c r="G32" s="151">
        <v>13599.04</v>
      </c>
      <c r="H32" s="153">
        <v>0</v>
      </c>
      <c r="I32" s="151">
        <f>'Box Canon'!AA20+'Box Canon'!AA21</f>
        <v>2340.48</v>
      </c>
      <c r="J32" s="149"/>
      <c r="K32" s="149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7">
        <f t="shared" si="1"/>
        <v>44738</v>
      </c>
      <c r="B33" s="233" t="str">
        <f t="shared" si="0"/>
        <v>Sun</v>
      </c>
      <c r="C33" s="152">
        <v>1307.42</v>
      </c>
      <c r="D33" s="58">
        <f>'Box Canon'!AB18+'Box Canon'!AB19</f>
        <v>980.75</v>
      </c>
      <c r="E33" s="21"/>
      <c r="F33" s="21"/>
      <c r="G33" s="151">
        <v>5294.55</v>
      </c>
      <c r="H33" s="153">
        <v>0</v>
      </c>
      <c r="I33" s="151">
        <f>'Box Canon'!AB20+'Box Canon'!AB21</f>
        <v>1290.7</v>
      </c>
      <c r="J33" s="149"/>
      <c r="K33" s="149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7">
        <f t="shared" si="1"/>
        <v>44739</v>
      </c>
      <c r="B34" s="233" t="str">
        <f t="shared" si="0"/>
        <v>Mon</v>
      </c>
      <c r="C34" s="152">
        <v>2432.92</v>
      </c>
      <c r="D34" s="58">
        <f>'Box Canon'!AC18+'Box Canon'!AC19</f>
        <v>1558.56</v>
      </c>
      <c r="E34" s="21"/>
      <c r="F34" s="21"/>
      <c r="G34" s="151">
        <v>11054.47</v>
      </c>
      <c r="H34" s="153">
        <v>0</v>
      </c>
      <c r="I34" s="151">
        <f>'Box Canon'!AC20+'Box Canon'!AC21</f>
        <v>1578.4699999999998</v>
      </c>
      <c r="J34" s="149"/>
      <c r="K34" s="149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7">
        <f t="shared" si="1"/>
        <v>44740</v>
      </c>
      <c r="B35" s="233" t="str">
        <f t="shared" si="0"/>
        <v>Tue</v>
      </c>
      <c r="C35" s="152">
        <v>2394.2800000000002</v>
      </c>
      <c r="D35" s="58">
        <f>'Box Canon'!AD18+'Box Canon'!AD19</f>
        <v>1331.9299999999998</v>
      </c>
      <c r="E35" s="21"/>
      <c r="F35" s="21"/>
      <c r="G35" s="151">
        <v>9885.94</v>
      </c>
      <c r="H35" s="153">
        <v>0</v>
      </c>
      <c r="I35" s="151">
        <f>'Box Canon'!AD20+'Box Canon'!AD21</f>
        <v>1699.8200000000002</v>
      </c>
      <c r="J35" s="149"/>
      <c r="K35" s="149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7">
        <f t="shared" si="1"/>
        <v>44741</v>
      </c>
      <c r="B36" s="233" t="str">
        <f t="shared" si="0"/>
        <v>Wed</v>
      </c>
      <c r="C36" s="152">
        <v>1886.67</v>
      </c>
      <c r="D36" s="58">
        <f>'Box Canon'!AE18+'Box Canon'!AE19</f>
        <v>1556.99</v>
      </c>
      <c r="E36" s="42"/>
      <c r="F36" s="21"/>
      <c r="G36" s="151">
        <v>10183.790000000001</v>
      </c>
      <c r="H36" s="153">
        <v>0</v>
      </c>
      <c r="I36" s="151">
        <f>'Box Canon'!AE20+'Box Canon'!AE21</f>
        <v>1556.21</v>
      </c>
      <c r="J36" s="149"/>
      <c r="K36" s="149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7">
        <f t="shared" si="1"/>
        <v>44742</v>
      </c>
      <c r="B37" s="233" t="str">
        <f t="shared" si="0"/>
        <v>Thu</v>
      </c>
      <c r="C37" s="152">
        <v>1389.81</v>
      </c>
      <c r="D37" s="58">
        <f>'Box Canon'!AF18+'Box Canon'!AF19</f>
        <v>1047.8600000000001</v>
      </c>
      <c r="E37" s="21"/>
      <c r="F37" s="21"/>
      <c r="G37" s="151">
        <v>9359.26</v>
      </c>
      <c r="H37" s="153">
        <v>0</v>
      </c>
      <c r="I37" s="151">
        <f>'Box Canon'!AF20+'Box Canon'!AF21</f>
        <v>1161.1500000000001</v>
      </c>
      <c r="J37" s="149"/>
      <c r="K37" s="149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7">
        <f t="shared" si="1"/>
        <v>44743</v>
      </c>
      <c r="B38" s="233" t="str">
        <f t="shared" si="0"/>
        <v>Fri</v>
      </c>
      <c r="C38" s="152">
        <v>0</v>
      </c>
      <c r="D38" s="58">
        <f>'Box Canon'!AG18+'Box Canon'!AG19</f>
        <v>0</v>
      </c>
      <c r="E38" s="21"/>
      <c r="F38" s="21"/>
      <c r="G38" s="151">
        <v>0</v>
      </c>
      <c r="H38" s="153">
        <v>0</v>
      </c>
      <c r="I38" s="151">
        <f>'Box Canon'!AG20+'Box Canon'!AG21</f>
        <v>0</v>
      </c>
      <c r="J38" s="149"/>
      <c r="K38" s="149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4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5"/>
      <c r="C40" s="171">
        <f>SUM(C8:C39)</f>
        <v>60034.509999999987</v>
      </c>
      <c r="D40" s="171">
        <f t="shared" ref="D40:M40" si="2">SUM(D8:D39)</f>
        <v>38550.709999999992</v>
      </c>
      <c r="E40" s="172">
        <f t="shared" si="2"/>
        <v>0</v>
      </c>
      <c r="F40" s="172">
        <f t="shared" si="2"/>
        <v>0</v>
      </c>
      <c r="G40" s="171">
        <f>SUM(G8:G38)</f>
        <v>261633.62</v>
      </c>
      <c r="H40" s="171">
        <f>SUM(H8:H38)</f>
        <v>0</v>
      </c>
      <c r="I40" s="171">
        <f>SUM(I8:I38)</f>
        <v>44080.270000000004</v>
      </c>
      <c r="J40" s="171">
        <f t="shared" si="2"/>
        <v>0</v>
      </c>
      <c r="K40" s="171">
        <f t="shared" si="2"/>
        <v>0</v>
      </c>
      <c r="L40" s="172">
        <f t="shared" si="2"/>
        <v>0</v>
      </c>
      <c r="M40" s="172">
        <f t="shared" si="2"/>
        <v>0</v>
      </c>
      <c r="N40" s="173"/>
      <c r="O40" s="174">
        <f>SUM(O8:O39)</f>
        <v>0</v>
      </c>
      <c r="P40" s="174">
        <f>SUM(P8:P39)</f>
        <v>0</v>
      </c>
      <c r="Q40" s="174">
        <f>SUM(Q8:Q39)</f>
        <v>0</v>
      </c>
      <c r="R40" s="174">
        <f>SUM(R8:R39)</f>
        <v>0</v>
      </c>
      <c r="S40" s="175"/>
      <c r="T40" s="176">
        <f>SUM(C40:R40)-M40-P40+T7</f>
        <v>404299.11</v>
      </c>
      <c r="U40" s="18"/>
      <c r="V40" s="18"/>
    </row>
    <row r="41" spans="1:22" ht="13.5" thickTop="1" x14ac:dyDescent="0.2">
      <c r="B41" s="235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5"/>
      <c r="M42" s="177">
        <f>C40+D40+J40+K40+M40</f>
        <v>98585.219999999972</v>
      </c>
      <c r="N42" s="173"/>
      <c r="O42" s="178">
        <f>+O40-P40</f>
        <v>0</v>
      </c>
      <c r="P42" s="177"/>
      <c r="Q42" s="178">
        <f>+P40+Q40</f>
        <v>0</v>
      </c>
      <c r="R42" s="177">
        <f>O40+Q40+R40</f>
        <v>0</v>
      </c>
      <c r="S42" s="23"/>
      <c r="T42" s="18"/>
      <c r="U42" s="18"/>
      <c r="V42" s="18"/>
    </row>
    <row r="43" spans="1:22" x14ac:dyDescent="0.2">
      <c r="A43" s="49"/>
      <c r="B43" s="235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5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5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5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5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5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5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5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5"/>
      <c r="C51" s="55"/>
      <c r="N51" s="23"/>
      <c r="O51" s="18"/>
      <c r="P51" s="18"/>
      <c r="Q51" s="18"/>
      <c r="U51" s="18"/>
      <c r="V51" s="18"/>
    </row>
    <row r="52" spans="1:22" x14ac:dyDescent="0.2">
      <c r="B52" s="235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5"/>
      <c r="C53" s="55"/>
      <c r="N53" s="23"/>
      <c r="O53" s="18"/>
      <c r="P53" s="18"/>
      <c r="Q53" s="18"/>
      <c r="U53" s="18"/>
      <c r="V53" s="18"/>
    </row>
    <row r="54" spans="1:22" x14ac:dyDescent="0.2">
      <c r="B54" s="235"/>
      <c r="C54" s="55"/>
      <c r="N54" s="23"/>
      <c r="O54" s="18"/>
      <c r="P54" s="18"/>
      <c r="Q54" s="18"/>
      <c r="U54" s="18"/>
      <c r="V54" s="18"/>
    </row>
    <row r="55" spans="1:22" x14ac:dyDescent="0.2">
      <c r="B55" s="235"/>
      <c r="N55" s="23"/>
      <c r="O55" s="18"/>
      <c r="P55" s="18"/>
      <c r="Q55" s="18"/>
      <c r="U55" s="18"/>
      <c r="V55" s="18"/>
    </row>
    <row r="56" spans="1:22" x14ac:dyDescent="0.2">
      <c r="B56" s="235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5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5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5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5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5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5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5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5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5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5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5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5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5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5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5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5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5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5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5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5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5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5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5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5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5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5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5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5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5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5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5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5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5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5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5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5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5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5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5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5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5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5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5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5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5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59"/>
  <sheetViews>
    <sheetView workbookViewId="0">
      <pane xSplit="2" ySplit="2" topLeftCell="X28" activePane="bottomRight" state="frozen"/>
      <selection pane="topRight" activeCell="C1" sqref="C1"/>
      <selection pane="bottomLeft" activeCell="A3" sqref="A3"/>
      <selection pane="bottomRight" activeCell="AN50" sqref="AN50"/>
    </sheetView>
  </sheetViews>
  <sheetFormatPr defaultColWidth="9.140625" defaultRowHeight="15.75" x14ac:dyDescent="0.25"/>
  <cols>
    <col min="1" max="1" width="10.42578125" style="59" bestFit="1" customWidth="1"/>
    <col min="2" max="2" width="33.85546875" style="60" bestFit="1" customWidth="1"/>
    <col min="3" max="7" width="10" style="60" customWidth="1"/>
    <col min="8" max="8" width="10.5703125" style="60" bestFit="1" customWidth="1"/>
    <col min="9" max="32" width="10" style="60" customWidth="1"/>
    <col min="33" max="33" width="10" style="60" hidden="1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2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70" t="s">
        <v>122</v>
      </c>
      <c r="B1" s="379" t="str">
        <f>'Cash Flow'!C1</f>
        <v xml:space="preserve">June </v>
      </c>
      <c r="C1" s="229" t="str">
        <f t="array" ref="C1:AG1">TRANSPOSE('Cash Flow'!B8:B38)</f>
        <v>Wed</v>
      </c>
      <c r="D1" s="229" t="str">
        <v>Thu</v>
      </c>
      <c r="E1" s="229" t="str">
        <v>Fri</v>
      </c>
      <c r="F1" s="229" t="str">
        <v>Sat</v>
      </c>
      <c r="G1" s="229" t="str">
        <v>Sun</v>
      </c>
      <c r="H1" s="229" t="str">
        <v>Mon</v>
      </c>
      <c r="I1" s="229" t="str">
        <v>Tue</v>
      </c>
      <c r="J1" s="229" t="str">
        <v>Wed</v>
      </c>
      <c r="K1" s="229" t="str">
        <v>Thu</v>
      </c>
      <c r="L1" s="229" t="str">
        <v>Fri</v>
      </c>
      <c r="M1" s="229" t="str">
        <v>Sat</v>
      </c>
      <c r="N1" s="229" t="str">
        <v>Sun</v>
      </c>
      <c r="O1" s="229" t="str">
        <v>Mon</v>
      </c>
      <c r="P1" s="229" t="str">
        <v>Tue</v>
      </c>
      <c r="Q1" s="229" t="str">
        <v>Wed</v>
      </c>
      <c r="R1" s="229" t="str">
        <v>Thu</v>
      </c>
      <c r="S1" s="229" t="str">
        <v>Fri</v>
      </c>
      <c r="T1" s="229" t="str">
        <v>Sat</v>
      </c>
      <c r="U1" s="229" t="str">
        <v>Sun</v>
      </c>
      <c r="V1" s="229" t="str">
        <v>Mon</v>
      </c>
      <c r="W1" s="229" t="str">
        <v>Tue</v>
      </c>
      <c r="X1" s="229" t="str">
        <v>Wed</v>
      </c>
      <c r="Y1" s="229" t="str">
        <v>Thu</v>
      </c>
      <c r="Z1" s="229" t="str">
        <v>Fri</v>
      </c>
      <c r="AA1" s="229" t="str">
        <v>Sat</v>
      </c>
      <c r="AB1" s="229" t="str">
        <v>Sun</v>
      </c>
      <c r="AC1" s="229" t="str">
        <v>Mon</v>
      </c>
      <c r="AD1" s="229" t="str">
        <v>Tue</v>
      </c>
      <c r="AE1" s="229" t="str">
        <v>Wed</v>
      </c>
      <c r="AF1" s="229" t="str">
        <v>Thu</v>
      </c>
      <c r="AG1" s="229" t="str">
        <v>Fri</v>
      </c>
    </row>
    <row r="2" spans="1:39" s="60" customFormat="1" ht="16.5" thickBot="1" x14ac:dyDescent="0.3">
      <c r="A2" s="63" t="s">
        <v>66</v>
      </c>
      <c r="B2" s="64" t="s">
        <v>131</v>
      </c>
      <c r="C2" s="106">
        <f>'Cash Flow'!A8</f>
        <v>44713</v>
      </c>
      <c r="D2" s="106">
        <f>C2+1</f>
        <v>44714</v>
      </c>
      <c r="E2" s="106">
        <f>D2+1</f>
        <v>44715</v>
      </c>
      <c r="F2" s="106">
        <f t="shared" ref="F2:AG2" si="0">E2+1</f>
        <v>44716</v>
      </c>
      <c r="G2" s="106">
        <f t="shared" si="0"/>
        <v>44717</v>
      </c>
      <c r="H2" s="106">
        <f t="shared" si="0"/>
        <v>44718</v>
      </c>
      <c r="I2" s="106">
        <f t="shared" si="0"/>
        <v>44719</v>
      </c>
      <c r="J2" s="106">
        <f t="shared" si="0"/>
        <v>44720</v>
      </c>
      <c r="K2" s="106">
        <f t="shared" si="0"/>
        <v>44721</v>
      </c>
      <c r="L2" s="106">
        <f t="shared" si="0"/>
        <v>44722</v>
      </c>
      <c r="M2" s="106">
        <f t="shared" si="0"/>
        <v>44723</v>
      </c>
      <c r="N2" s="106">
        <f t="shared" si="0"/>
        <v>44724</v>
      </c>
      <c r="O2" s="106">
        <f t="shared" si="0"/>
        <v>44725</v>
      </c>
      <c r="P2" s="106">
        <f t="shared" si="0"/>
        <v>44726</v>
      </c>
      <c r="Q2" s="106">
        <f t="shared" si="0"/>
        <v>44727</v>
      </c>
      <c r="R2" s="106">
        <f t="shared" si="0"/>
        <v>44728</v>
      </c>
      <c r="S2" s="106">
        <f t="shared" si="0"/>
        <v>44729</v>
      </c>
      <c r="T2" s="106">
        <f t="shared" si="0"/>
        <v>44730</v>
      </c>
      <c r="U2" s="106">
        <f t="shared" si="0"/>
        <v>44731</v>
      </c>
      <c r="V2" s="106">
        <f t="shared" si="0"/>
        <v>44732</v>
      </c>
      <c r="W2" s="106">
        <f t="shared" si="0"/>
        <v>44733</v>
      </c>
      <c r="X2" s="106">
        <f t="shared" si="0"/>
        <v>44734</v>
      </c>
      <c r="Y2" s="106">
        <f t="shared" si="0"/>
        <v>44735</v>
      </c>
      <c r="Z2" s="106">
        <f t="shared" si="0"/>
        <v>44736</v>
      </c>
      <c r="AA2" s="106">
        <f t="shared" si="0"/>
        <v>44737</v>
      </c>
      <c r="AB2" s="106">
        <f t="shared" si="0"/>
        <v>44738</v>
      </c>
      <c r="AC2" s="106">
        <f t="shared" si="0"/>
        <v>44739</v>
      </c>
      <c r="AD2" s="106">
        <f t="shared" si="0"/>
        <v>44740</v>
      </c>
      <c r="AE2" s="106">
        <f t="shared" si="0"/>
        <v>44741</v>
      </c>
      <c r="AF2" s="106">
        <f t="shared" si="0"/>
        <v>44742</v>
      </c>
      <c r="AG2" s="106">
        <f t="shared" si="0"/>
        <v>44743</v>
      </c>
      <c r="AH2" s="65" t="s">
        <v>59</v>
      </c>
      <c r="AI2" s="62"/>
      <c r="AJ2" s="63" t="s">
        <v>66</v>
      </c>
      <c r="AK2" s="64" t="s">
        <v>131</v>
      </c>
    </row>
    <row r="3" spans="1:39" x14ac:dyDescent="0.25">
      <c r="A3" s="66" t="s">
        <v>61</v>
      </c>
      <c r="B3" s="67" t="s">
        <v>62</v>
      </c>
      <c r="C3" s="68">
        <v>43.36</v>
      </c>
      <c r="D3" s="185">
        <v>46.79</v>
      </c>
      <c r="E3" s="185">
        <v>44.6</v>
      </c>
      <c r="F3" s="185">
        <v>97.19</v>
      </c>
      <c r="G3" s="185">
        <v>38.06</v>
      </c>
      <c r="H3" s="185">
        <v>58.44</v>
      </c>
      <c r="I3" s="185">
        <v>45.35</v>
      </c>
      <c r="J3" s="185">
        <v>61.44</v>
      </c>
      <c r="K3" s="185">
        <v>59.43</v>
      </c>
      <c r="L3" s="185">
        <v>73.25</v>
      </c>
      <c r="M3" s="185">
        <v>64.94</v>
      </c>
      <c r="N3" s="185">
        <v>74.040000000000006</v>
      </c>
      <c r="O3" s="185">
        <v>34.43</v>
      </c>
      <c r="P3" s="185">
        <v>47.19</v>
      </c>
      <c r="Q3" s="185">
        <v>58.27</v>
      </c>
      <c r="R3" s="185">
        <v>63.2</v>
      </c>
      <c r="S3" s="185">
        <v>58.54</v>
      </c>
      <c r="T3" s="185">
        <v>60.2</v>
      </c>
      <c r="U3" s="185">
        <v>37.35</v>
      </c>
      <c r="V3" s="185">
        <v>87.25</v>
      </c>
      <c r="W3" s="185">
        <v>66.02</v>
      </c>
      <c r="X3" s="185">
        <v>43.51</v>
      </c>
      <c r="Y3" s="185">
        <v>44.49</v>
      </c>
      <c r="Z3" s="185">
        <v>88.58</v>
      </c>
      <c r="AA3" s="185">
        <v>91.96</v>
      </c>
      <c r="AB3" s="185">
        <v>35.270000000000003</v>
      </c>
      <c r="AC3" s="185">
        <v>78.05</v>
      </c>
      <c r="AD3" s="185">
        <v>66.06</v>
      </c>
      <c r="AE3" s="185">
        <v>59.97</v>
      </c>
      <c r="AF3" s="185">
        <v>46.16</v>
      </c>
      <c r="AG3" s="185"/>
      <c r="AH3" s="108">
        <f>SUM(C3:AG3)</f>
        <v>1773.3899999999999</v>
      </c>
      <c r="AJ3" s="66" t="s">
        <v>61</v>
      </c>
      <c r="AK3" s="67" t="s">
        <v>62</v>
      </c>
      <c r="AL3" s="211"/>
      <c r="AM3" s="211"/>
    </row>
    <row r="4" spans="1:39" x14ac:dyDescent="0.25">
      <c r="A4" s="69" t="s">
        <v>30</v>
      </c>
      <c r="B4" s="70" t="s">
        <v>31</v>
      </c>
      <c r="C4" s="71">
        <v>5667.2</v>
      </c>
      <c r="D4" s="72">
        <v>5374</v>
      </c>
      <c r="E4" s="71">
        <v>6334.8</v>
      </c>
      <c r="F4" s="71">
        <v>8773.7999999999993</v>
      </c>
      <c r="G4" s="71">
        <v>7177.6</v>
      </c>
      <c r="H4" s="71">
        <v>6144.4</v>
      </c>
      <c r="I4" s="71">
        <v>5516.8</v>
      </c>
      <c r="J4" s="71">
        <v>6228</v>
      </c>
      <c r="K4" s="71">
        <v>5833.2</v>
      </c>
      <c r="L4" s="71">
        <v>7351.2</v>
      </c>
      <c r="M4" s="71">
        <v>11787</v>
      </c>
      <c r="N4" s="71">
        <v>8134.4</v>
      </c>
      <c r="O4" s="71">
        <v>5645.2</v>
      </c>
      <c r="P4" s="71">
        <v>8350.7999999999993</v>
      </c>
      <c r="Q4" s="71">
        <v>8436.7999999999993</v>
      </c>
      <c r="R4" s="71">
        <v>5272.4</v>
      </c>
      <c r="S4" s="71">
        <v>6900</v>
      </c>
      <c r="T4" s="71">
        <v>10026.6</v>
      </c>
      <c r="U4" s="71">
        <v>3553.6</v>
      </c>
      <c r="V4" s="71">
        <v>9951.6</v>
      </c>
      <c r="W4" s="71">
        <v>8681.2000000000007</v>
      </c>
      <c r="X4" s="71">
        <v>6669.6</v>
      </c>
      <c r="Y4" s="71">
        <v>4471.2</v>
      </c>
      <c r="Z4" s="71">
        <v>10079.6</v>
      </c>
      <c r="AA4" s="71">
        <v>12237.6</v>
      </c>
      <c r="AB4" s="71">
        <v>4610.3999999999996</v>
      </c>
      <c r="AC4" s="71">
        <v>9696.7999999999993</v>
      </c>
      <c r="AD4" s="71">
        <v>8574.4</v>
      </c>
      <c r="AE4" s="71">
        <v>8739.6</v>
      </c>
      <c r="AF4" s="71">
        <v>6798.4</v>
      </c>
      <c r="AG4" s="71"/>
      <c r="AH4" s="108">
        <f t="shared" ref="AH4:AH27" si="1">SUM(C4:AG4)</f>
        <v>223018.2</v>
      </c>
      <c r="AJ4" s="69" t="s">
        <v>30</v>
      </c>
      <c r="AK4" s="70" t="s">
        <v>31</v>
      </c>
      <c r="AL4" s="211"/>
      <c r="AM4" s="211"/>
    </row>
    <row r="5" spans="1:39" x14ac:dyDescent="0.25">
      <c r="A5" s="69"/>
      <c r="B5" s="380" t="s">
        <v>175</v>
      </c>
      <c r="C5" s="71"/>
      <c r="D5" s="72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108">
        <f>SUM(C5:AG5)</f>
        <v>0</v>
      </c>
      <c r="AJ5" s="69"/>
      <c r="AK5" s="70"/>
      <c r="AL5" s="211"/>
      <c r="AM5" s="211"/>
    </row>
    <row r="6" spans="1:39" x14ac:dyDescent="0.25">
      <c r="A6" s="69" t="s">
        <v>178</v>
      </c>
      <c r="B6" s="70" t="s">
        <v>201</v>
      </c>
      <c r="C6" s="71">
        <v>234.6</v>
      </c>
      <c r="D6" s="72">
        <v>227.4</v>
      </c>
      <c r="E6" s="72">
        <v>204.6</v>
      </c>
      <c r="F6" s="72">
        <v>470.4</v>
      </c>
      <c r="G6" s="72">
        <v>353.4</v>
      </c>
      <c r="H6" s="72">
        <v>395.4</v>
      </c>
      <c r="I6" s="72">
        <v>292.2</v>
      </c>
      <c r="J6" s="72">
        <v>351.6</v>
      </c>
      <c r="K6" s="72">
        <v>369</v>
      </c>
      <c r="L6" s="72">
        <v>430.8</v>
      </c>
      <c r="M6" s="72">
        <v>601.20000000000005</v>
      </c>
      <c r="N6" s="72">
        <v>363</v>
      </c>
      <c r="O6" s="72">
        <v>344.4</v>
      </c>
      <c r="P6" s="72">
        <v>388.8</v>
      </c>
      <c r="Q6" s="72">
        <v>511.8</v>
      </c>
      <c r="R6" s="72">
        <v>448.2</v>
      </c>
      <c r="S6" s="72">
        <v>249.6</v>
      </c>
      <c r="T6" s="72"/>
      <c r="U6" s="72">
        <v>49.5</v>
      </c>
      <c r="V6" s="72">
        <v>543</v>
      </c>
      <c r="W6" s="72">
        <v>572.4</v>
      </c>
      <c r="X6" s="72">
        <v>396</v>
      </c>
      <c r="Y6" s="72">
        <v>126.6</v>
      </c>
      <c r="Z6" s="72">
        <v>570</v>
      </c>
      <c r="AA6" s="72">
        <v>598.79999999999995</v>
      </c>
      <c r="AB6" s="72">
        <v>174</v>
      </c>
      <c r="AC6" s="72">
        <v>610.79999999999995</v>
      </c>
      <c r="AD6" s="72">
        <v>552.6</v>
      </c>
      <c r="AE6" s="72">
        <v>466.2</v>
      </c>
      <c r="AF6" s="72">
        <v>121.8</v>
      </c>
      <c r="AG6" s="72"/>
      <c r="AH6" s="108">
        <f t="shared" si="1"/>
        <v>11018.1</v>
      </c>
      <c r="AJ6" s="69" t="s">
        <v>178</v>
      </c>
      <c r="AK6" s="70" t="s">
        <v>63</v>
      </c>
      <c r="AM6" s="211"/>
    </row>
    <row r="7" spans="1:39" x14ac:dyDescent="0.25">
      <c r="A7" s="371" t="s">
        <v>153</v>
      </c>
      <c r="B7" s="372" t="s">
        <v>154</v>
      </c>
      <c r="C7" s="373"/>
      <c r="D7" s="374">
        <v>176.4</v>
      </c>
      <c r="E7" s="374">
        <v>194.4</v>
      </c>
      <c r="F7" s="374">
        <v>637.20000000000005</v>
      </c>
      <c r="G7" s="374"/>
      <c r="H7" s="374"/>
      <c r="I7" s="374"/>
      <c r="J7" s="374"/>
      <c r="K7" s="374"/>
      <c r="L7" s="374"/>
      <c r="M7" s="374"/>
      <c r="N7" s="374"/>
      <c r="O7" s="374"/>
      <c r="P7" s="374"/>
      <c r="Q7" s="374"/>
      <c r="R7" s="374"/>
      <c r="S7" s="374"/>
      <c r="T7" s="374"/>
      <c r="U7" s="374"/>
      <c r="V7" s="374"/>
      <c r="W7" s="374"/>
      <c r="X7" s="374">
        <v>79.2</v>
      </c>
      <c r="Y7" s="374"/>
      <c r="Z7" s="374"/>
      <c r="AA7" s="374"/>
      <c r="AB7" s="374"/>
      <c r="AC7" s="374"/>
      <c r="AD7" s="374"/>
      <c r="AE7" s="374"/>
      <c r="AF7" s="374"/>
      <c r="AG7" s="374"/>
      <c r="AH7" s="375">
        <f>SUM(C7:AG7)</f>
        <v>1087.2</v>
      </c>
      <c r="AI7" s="376"/>
      <c r="AJ7" s="371" t="s">
        <v>153</v>
      </c>
      <c r="AK7" s="372" t="s">
        <v>154</v>
      </c>
      <c r="AM7" s="211"/>
    </row>
    <row r="8" spans="1:39" x14ac:dyDescent="0.25">
      <c r="A8" s="371" t="s">
        <v>155</v>
      </c>
      <c r="B8" s="372" t="s">
        <v>197</v>
      </c>
      <c r="C8" s="373">
        <f>215+1032</f>
        <v>1247</v>
      </c>
      <c r="D8" s="374">
        <f>191+600</f>
        <v>791</v>
      </c>
      <c r="E8" s="374">
        <f>405+360</f>
        <v>765</v>
      </c>
      <c r="F8" s="374">
        <f>115+1528</f>
        <v>1643</v>
      </c>
      <c r="G8" s="374">
        <f>320.37+840</f>
        <v>1160.3699999999999</v>
      </c>
      <c r="H8" s="374">
        <f>1850+2888</f>
        <v>4738</v>
      </c>
      <c r="I8" s="374">
        <f>1132.5+824</f>
        <v>1956.5</v>
      </c>
      <c r="J8" s="374">
        <f>1520+464</f>
        <v>1984</v>
      </c>
      <c r="K8" s="374">
        <f>1060+840</f>
        <v>1900</v>
      </c>
      <c r="L8" s="374">
        <f>555+1408</f>
        <v>1963</v>
      </c>
      <c r="M8" s="374">
        <f>165+717+1648</f>
        <v>2530</v>
      </c>
      <c r="N8" s="374">
        <f>1755+1288</f>
        <v>3043</v>
      </c>
      <c r="O8" s="374">
        <f>720+1080</f>
        <v>1800</v>
      </c>
      <c r="P8" s="374">
        <f>780+1664</f>
        <v>2444</v>
      </c>
      <c r="Q8" s="374">
        <f>290+1288</f>
        <v>1578</v>
      </c>
      <c r="R8" s="374">
        <v>960</v>
      </c>
      <c r="S8" s="374">
        <f>1307.5+688</f>
        <v>1995.5</v>
      </c>
      <c r="T8" s="374">
        <f>615+720</f>
        <v>1335</v>
      </c>
      <c r="U8" s="374">
        <f>262.5+568</f>
        <v>830.5</v>
      </c>
      <c r="V8" s="374">
        <f>745+2768</f>
        <v>3513</v>
      </c>
      <c r="W8" s="374">
        <f>867.5+1048</f>
        <v>1915.5</v>
      </c>
      <c r="X8" s="374">
        <f>250+1528</f>
        <v>1778</v>
      </c>
      <c r="Y8" s="374">
        <v>344</v>
      </c>
      <c r="Z8" s="374">
        <f>632.5+1256</f>
        <v>1888.5</v>
      </c>
      <c r="AA8" s="374">
        <f>1320+1320</f>
        <v>2640</v>
      </c>
      <c r="AB8" s="374">
        <f>545+600</f>
        <v>1145</v>
      </c>
      <c r="AC8" s="374">
        <f>422.5+1528</f>
        <v>1950.5</v>
      </c>
      <c r="AD8" s="374">
        <f>872.5+1424</f>
        <v>2296.5</v>
      </c>
      <c r="AE8" s="374">
        <f>735+1200</f>
        <v>1935</v>
      </c>
      <c r="AF8" s="374">
        <f>732.5+2304</f>
        <v>3036.5</v>
      </c>
      <c r="AG8" s="374"/>
      <c r="AH8" s="375">
        <f>SUM(C8:AG8)</f>
        <v>57106.369999999995</v>
      </c>
      <c r="AI8" s="376"/>
      <c r="AJ8" s="371" t="s">
        <v>155</v>
      </c>
      <c r="AK8" s="372" t="s">
        <v>197</v>
      </c>
      <c r="AM8" s="211"/>
    </row>
    <row r="9" spans="1:39" x14ac:dyDescent="0.25">
      <c r="A9" s="371" t="s">
        <v>160</v>
      </c>
      <c r="B9" s="372" t="s">
        <v>161</v>
      </c>
      <c r="C9" s="373"/>
      <c r="D9" s="374"/>
      <c r="E9" s="374"/>
      <c r="F9" s="374"/>
      <c r="G9" s="374"/>
      <c r="H9" s="374"/>
      <c r="I9" s="374"/>
      <c r="J9" s="374"/>
      <c r="K9" s="374"/>
      <c r="L9" s="374"/>
      <c r="M9" s="374"/>
      <c r="N9" s="374"/>
      <c r="O9" s="374"/>
      <c r="P9" s="374"/>
      <c r="Q9" s="374"/>
      <c r="R9" s="374"/>
      <c r="S9" s="374"/>
      <c r="T9" s="374"/>
      <c r="U9" s="374"/>
      <c r="V9" s="374"/>
      <c r="W9" s="374"/>
      <c r="X9" s="374"/>
      <c r="Y9" s="374"/>
      <c r="Z9" s="374"/>
      <c r="AA9" s="374"/>
      <c r="AB9" s="374"/>
      <c r="AC9" s="374"/>
      <c r="AD9" s="374"/>
      <c r="AE9" s="374"/>
      <c r="AF9" s="374"/>
      <c r="AG9" s="374"/>
      <c r="AH9" s="375">
        <f t="shared" ref="AH9:AH13" si="2">SUM(C9:AG9)</f>
        <v>0</v>
      </c>
      <c r="AI9" s="376"/>
      <c r="AJ9" s="371" t="s">
        <v>160</v>
      </c>
      <c r="AK9" s="372" t="s">
        <v>161</v>
      </c>
      <c r="AM9" s="211"/>
    </row>
    <row r="10" spans="1:39" x14ac:dyDescent="0.25">
      <c r="A10" s="371" t="s">
        <v>162</v>
      </c>
      <c r="B10" s="372" t="s">
        <v>163</v>
      </c>
      <c r="C10" s="373"/>
      <c r="D10" s="374"/>
      <c r="E10" s="374"/>
      <c r="F10" s="374"/>
      <c r="G10" s="374"/>
      <c r="H10" s="374"/>
      <c r="I10" s="374"/>
      <c r="J10" s="374"/>
      <c r="K10" s="374"/>
      <c r="L10" s="374"/>
      <c r="M10" s="374"/>
      <c r="N10" s="374"/>
      <c r="O10" s="374"/>
      <c r="P10" s="374"/>
      <c r="Q10" s="374"/>
      <c r="R10" s="374"/>
      <c r="S10" s="374"/>
      <c r="T10" s="374"/>
      <c r="U10" s="374"/>
      <c r="V10" s="374"/>
      <c r="W10" s="374"/>
      <c r="X10" s="374"/>
      <c r="Y10" s="374"/>
      <c r="Z10" s="374"/>
      <c r="AA10" s="374"/>
      <c r="AB10" s="374"/>
      <c r="AC10" s="374"/>
      <c r="AD10" s="374"/>
      <c r="AE10" s="374"/>
      <c r="AF10" s="374"/>
      <c r="AG10" s="374"/>
      <c r="AH10" s="375">
        <f t="shared" si="2"/>
        <v>0</v>
      </c>
      <c r="AI10" s="376"/>
      <c r="AJ10" s="371" t="s">
        <v>162</v>
      </c>
      <c r="AK10" s="372" t="s">
        <v>163</v>
      </c>
      <c r="AM10" s="211"/>
    </row>
    <row r="11" spans="1:39" x14ac:dyDescent="0.25">
      <c r="A11" s="371" t="s">
        <v>156</v>
      </c>
      <c r="B11" s="372" t="s">
        <v>157</v>
      </c>
      <c r="C11" s="373"/>
      <c r="D11" s="374"/>
      <c r="E11" s="374"/>
      <c r="F11" s="374"/>
      <c r="G11" s="374">
        <v>165</v>
      </c>
      <c r="H11" s="374"/>
      <c r="I11" s="374"/>
      <c r="J11" s="374"/>
      <c r="K11" s="374"/>
      <c r="L11" s="374"/>
      <c r="M11" s="374">
        <v>170</v>
      </c>
      <c r="N11" s="374"/>
      <c r="O11" s="374"/>
      <c r="P11" s="374"/>
      <c r="Q11" s="374"/>
      <c r="R11" s="374"/>
      <c r="S11" s="374"/>
      <c r="T11" s="374"/>
      <c r="U11" s="374"/>
      <c r="V11" s="374"/>
      <c r="W11" s="374"/>
      <c r="X11" s="374"/>
      <c r="Y11" s="374"/>
      <c r="Z11" s="374"/>
      <c r="AA11" s="374"/>
      <c r="AB11" s="374"/>
      <c r="AC11" s="374"/>
      <c r="AD11" s="374"/>
      <c r="AE11" s="374"/>
      <c r="AF11" s="374"/>
      <c r="AG11" s="374"/>
      <c r="AH11" s="375">
        <f t="shared" si="2"/>
        <v>335</v>
      </c>
      <c r="AI11" s="376"/>
      <c r="AJ11" s="371" t="s">
        <v>156</v>
      </c>
      <c r="AK11" s="372" t="s">
        <v>157</v>
      </c>
      <c r="AM11" s="211"/>
    </row>
    <row r="12" spans="1:39" x14ac:dyDescent="0.25">
      <c r="A12" s="371" t="s">
        <v>167</v>
      </c>
      <c r="B12" s="372" t="s">
        <v>168</v>
      </c>
      <c r="C12" s="373"/>
      <c r="D12" s="374"/>
      <c r="E12" s="374"/>
      <c r="F12" s="374"/>
      <c r="G12" s="374"/>
      <c r="H12" s="374"/>
      <c r="I12" s="374"/>
      <c r="J12" s="374"/>
      <c r="K12" s="374"/>
      <c r="L12" s="374"/>
      <c r="M12" s="374"/>
      <c r="N12" s="374"/>
      <c r="O12" s="374"/>
      <c r="P12" s="374"/>
      <c r="Q12" s="374"/>
      <c r="R12" s="374"/>
      <c r="S12" s="374"/>
      <c r="T12" s="374"/>
      <c r="U12" s="374"/>
      <c r="V12" s="374"/>
      <c r="W12" s="374"/>
      <c r="X12" s="374"/>
      <c r="Y12" s="374"/>
      <c r="Z12" s="374"/>
      <c r="AA12" s="374"/>
      <c r="AB12" s="374"/>
      <c r="AC12" s="374"/>
      <c r="AD12" s="374"/>
      <c r="AE12" s="374"/>
      <c r="AF12" s="374"/>
      <c r="AG12" s="374"/>
      <c r="AH12" s="375">
        <f t="shared" si="2"/>
        <v>0</v>
      </c>
      <c r="AI12" s="376"/>
      <c r="AJ12" s="371" t="s">
        <v>167</v>
      </c>
      <c r="AK12" s="372" t="s">
        <v>168</v>
      </c>
      <c r="AM12" s="211"/>
    </row>
    <row r="13" spans="1:39" x14ac:dyDescent="0.25">
      <c r="A13" s="371" t="s">
        <v>169</v>
      </c>
      <c r="B13" s="372" t="s">
        <v>170</v>
      </c>
      <c r="C13" s="373"/>
      <c r="D13" s="374"/>
      <c r="E13" s="374"/>
      <c r="F13" s="374"/>
      <c r="G13" s="374"/>
      <c r="H13" s="374"/>
      <c r="I13" s="374"/>
      <c r="J13" s="374"/>
      <c r="K13" s="374"/>
      <c r="L13" s="374"/>
      <c r="M13" s="374"/>
      <c r="N13" s="374"/>
      <c r="O13" s="374"/>
      <c r="P13" s="374"/>
      <c r="Q13" s="374"/>
      <c r="R13" s="374"/>
      <c r="S13" s="374"/>
      <c r="T13" s="374"/>
      <c r="U13" s="374"/>
      <c r="V13" s="374"/>
      <c r="W13" s="374"/>
      <c r="X13" s="374"/>
      <c r="Y13" s="374"/>
      <c r="Z13" s="374"/>
      <c r="AA13" s="374"/>
      <c r="AB13" s="374"/>
      <c r="AC13" s="374"/>
      <c r="AD13" s="374"/>
      <c r="AE13" s="374"/>
      <c r="AF13" s="374"/>
      <c r="AG13" s="374"/>
      <c r="AH13" s="375">
        <f t="shared" si="2"/>
        <v>0</v>
      </c>
      <c r="AI13" s="376"/>
      <c r="AJ13" s="371" t="s">
        <v>169</v>
      </c>
      <c r="AK13" s="372" t="s">
        <v>170</v>
      </c>
      <c r="AM13" s="211"/>
    </row>
    <row r="14" spans="1:39" x14ac:dyDescent="0.25">
      <c r="A14" s="69" t="s">
        <v>34</v>
      </c>
      <c r="B14" s="70" t="s">
        <v>35</v>
      </c>
      <c r="C14" s="71">
        <v>16</v>
      </c>
      <c r="D14" s="72">
        <v>24</v>
      </c>
      <c r="E14" s="72">
        <v>16</v>
      </c>
      <c r="F14" s="72">
        <v>108</v>
      </c>
      <c r="G14" s="72">
        <v>32</v>
      </c>
      <c r="H14" s="72">
        <v>42.4</v>
      </c>
      <c r="I14" s="72">
        <v>40</v>
      </c>
      <c r="J14" s="72">
        <v>96</v>
      </c>
      <c r="K14" s="72">
        <v>102</v>
      </c>
      <c r="L14" s="72">
        <v>16</v>
      </c>
      <c r="M14" s="72">
        <v>32</v>
      </c>
      <c r="N14" s="72">
        <v>226</v>
      </c>
      <c r="O14" s="72">
        <v>40</v>
      </c>
      <c r="P14" s="72">
        <v>42</v>
      </c>
      <c r="Q14" s="72">
        <v>16</v>
      </c>
      <c r="R14" s="72">
        <v>15.2</v>
      </c>
      <c r="S14" s="72">
        <v>12</v>
      </c>
      <c r="T14" s="72">
        <v>48</v>
      </c>
      <c r="U14" s="72">
        <v>104</v>
      </c>
      <c r="V14" s="72">
        <v>12</v>
      </c>
      <c r="W14" s="72">
        <v>108</v>
      </c>
      <c r="X14" s="72">
        <v>56</v>
      </c>
      <c r="Y14" s="72">
        <v>8</v>
      </c>
      <c r="Z14" s="72">
        <v>20</v>
      </c>
      <c r="AA14" s="72">
        <v>24</v>
      </c>
      <c r="AB14" s="72">
        <v>8</v>
      </c>
      <c r="AC14" s="72">
        <v>163</v>
      </c>
      <c r="AD14" s="72">
        <v>57</v>
      </c>
      <c r="AE14" s="72">
        <v>49</v>
      </c>
      <c r="AF14" s="72">
        <v>40</v>
      </c>
      <c r="AG14" s="72"/>
      <c r="AH14" s="108">
        <f t="shared" si="1"/>
        <v>1572.6</v>
      </c>
      <c r="AJ14" s="69" t="s">
        <v>34</v>
      </c>
      <c r="AK14" s="70" t="s">
        <v>35</v>
      </c>
    </row>
    <row r="15" spans="1:39" x14ac:dyDescent="0.25">
      <c r="A15" s="69" t="s">
        <v>36</v>
      </c>
      <c r="B15" s="70" t="s">
        <v>37</v>
      </c>
      <c r="C15" s="71">
        <v>443.9</v>
      </c>
      <c r="D15" s="72">
        <v>485.61</v>
      </c>
      <c r="E15" s="72">
        <v>466.31</v>
      </c>
      <c r="F15" s="72">
        <v>1017.49</v>
      </c>
      <c r="G15" s="72">
        <v>398.71</v>
      </c>
      <c r="H15" s="72">
        <v>613.70000000000005</v>
      </c>
      <c r="I15" s="72">
        <v>467.43</v>
      </c>
      <c r="J15" s="72">
        <v>646.27</v>
      </c>
      <c r="K15" s="72">
        <v>609.55999999999995</v>
      </c>
      <c r="L15" s="72">
        <v>764.55</v>
      </c>
      <c r="M15" s="72">
        <v>679.55</v>
      </c>
      <c r="N15" s="72">
        <v>771.09</v>
      </c>
      <c r="O15" s="72">
        <v>360.59</v>
      </c>
      <c r="P15" s="72">
        <v>500.28</v>
      </c>
      <c r="Q15" s="72">
        <v>608.49</v>
      </c>
      <c r="R15" s="72">
        <v>661.11</v>
      </c>
      <c r="S15" s="72">
        <v>612.32000000000005</v>
      </c>
      <c r="T15" s="72">
        <v>617.25</v>
      </c>
      <c r="U15" s="72">
        <v>385.28</v>
      </c>
      <c r="V15" s="72">
        <v>912.38</v>
      </c>
      <c r="W15" s="72">
        <v>687.44</v>
      </c>
      <c r="X15" s="72">
        <v>447.68</v>
      </c>
      <c r="Y15" s="72">
        <v>466.66</v>
      </c>
      <c r="Z15" s="72">
        <v>922.58</v>
      </c>
      <c r="AA15" s="72">
        <v>961.75</v>
      </c>
      <c r="AB15" s="72">
        <v>352.47</v>
      </c>
      <c r="AC15" s="72">
        <v>809.42</v>
      </c>
      <c r="AD15" s="72">
        <v>674.06</v>
      </c>
      <c r="AE15" s="72">
        <v>614.69000000000005</v>
      </c>
      <c r="AF15" s="72">
        <v>464</v>
      </c>
      <c r="AG15" s="72"/>
      <c r="AH15" s="108">
        <f t="shared" si="1"/>
        <v>18422.62</v>
      </c>
      <c r="AJ15" s="69" t="s">
        <v>36</v>
      </c>
      <c r="AK15" s="70" t="s">
        <v>37</v>
      </c>
    </row>
    <row r="16" spans="1:39" x14ac:dyDescent="0.25">
      <c r="A16" s="69" t="s">
        <v>202</v>
      </c>
      <c r="B16" s="70" t="s">
        <v>112</v>
      </c>
      <c r="C16" s="71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108">
        <f t="shared" si="1"/>
        <v>0</v>
      </c>
      <c r="AJ16" s="69" t="s">
        <v>111</v>
      </c>
      <c r="AK16" s="70" t="s">
        <v>112</v>
      </c>
    </row>
    <row r="17" spans="1:39" x14ac:dyDescent="0.25">
      <c r="A17" s="69" t="s">
        <v>77</v>
      </c>
      <c r="B17" s="70" t="s">
        <v>198</v>
      </c>
      <c r="C17" s="71">
        <v>16</v>
      </c>
      <c r="D17" s="72">
        <v>16</v>
      </c>
      <c r="E17" s="72"/>
      <c r="F17" s="72">
        <v>35</v>
      </c>
      <c r="G17" s="72">
        <f>-16+305</f>
        <v>289</v>
      </c>
      <c r="H17" s="72">
        <v>610</v>
      </c>
      <c r="I17" s="72">
        <f>16+272.5</f>
        <v>288.5</v>
      </c>
      <c r="J17" s="72">
        <f>16+470</f>
        <v>486</v>
      </c>
      <c r="K17" s="72">
        <f>16+395</f>
        <v>411</v>
      </c>
      <c r="L17" s="72">
        <v>16</v>
      </c>
      <c r="M17" s="72">
        <f>48+230</f>
        <v>278</v>
      </c>
      <c r="N17" s="72">
        <v>335</v>
      </c>
      <c r="O17" s="72">
        <f>16+225</f>
        <v>241</v>
      </c>
      <c r="P17" s="72">
        <v>395</v>
      </c>
      <c r="Q17" s="72">
        <v>32</v>
      </c>
      <c r="R17" s="72">
        <v>32</v>
      </c>
      <c r="S17" s="72">
        <f>64+82.5</f>
        <v>146.5</v>
      </c>
      <c r="T17" s="72">
        <f>64+30</f>
        <v>94</v>
      </c>
      <c r="U17" s="72">
        <f>16+187.5</f>
        <v>203.5</v>
      </c>
      <c r="V17" s="72">
        <f>28.8+105</f>
        <v>133.80000000000001</v>
      </c>
      <c r="W17" s="72">
        <v>342.5</v>
      </c>
      <c r="X17" s="72">
        <v>48</v>
      </c>
      <c r="Y17" s="72"/>
      <c r="Z17" s="72">
        <f>32+217.5</f>
        <v>249.5</v>
      </c>
      <c r="AA17" s="72">
        <v>315</v>
      </c>
      <c r="AB17" s="72">
        <v>285</v>
      </c>
      <c r="AC17" s="72">
        <f>32+142.5</f>
        <v>174.5</v>
      </c>
      <c r="AD17" s="72">
        <f>16+52.5</f>
        <v>68.5</v>
      </c>
      <c r="AE17" s="72">
        <f>16+190</f>
        <v>206</v>
      </c>
      <c r="AF17" s="72">
        <v>292.5</v>
      </c>
      <c r="AG17" s="72"/>
      <c r="AH17" s="108">
        <f t="shared" si="1"/>
        <v>6039.8</v>
      </c>
      <c r="AJ17" s="69" t="s">
        <v>77</v>
      </c>
      <c r="AK17" s="70" t="s">
        <v>78</v>
      </c>
      <c r="AL17" s="211"/>
    </row>
    <row r="18" spans="1:39" x14ac:dyDescent="0.25">
      <c r="A18" s="69" t="s">
        <v>38</v>
      </c>
      <c r="B18" s="70" t="s">
        <v>39</v>
      </c>
      <c r="C18" s="71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108">
        <f t="shared" si="1"/>
        <v>0</v>
      </c>
      <c r="AJ18" s="69" t="s">
        <v>38</v>
      </c>
      <c r="AK18" s="70" t="s">
        <v>39</v>
      </c>
    </row>
    <row r="19" spans="1:39" x14ac:dyDescent="0.25">
      <c r="A19" s="371" t="s">
        <v>164</v>
      </c>
      <c r="B19" s="372" t="s">
        <v>165</v>
      </c>
      <c r="C19" s="373">
        <v>90</v>
      </c>
      <c r="D19" s="374"/>
      <c r="E19" s="374"/>
      <c r="F19" s="374"/>
      <c r="G19" s="374"/>
      <c r="H19" s="374"/>
      <c r="I19" s="374">
        <v>45</v>
      </c>
      <c r="J19" s="374">
        <v>180</v>
      </c>
      <c r="K19" s="374"/>
      <c r="L19" s="374"/>
      <c r="M19" s="374">
        <v>45</v>
      </c>
      <c r="N19" s="374"/>
      <c r="O19" s="374">
        <v>540</v>
      </c>
      <c r="P19" s="374">
        <v>270</v>
      </c>
      <c r="Q19" s="374"/>
      <c r="R19" s="374">
        <v>45</v>
      </c>
      <c r="S19" s="374">
        <v>45</v>
      </c>
      <c r="T19" s="374"/>
      <c r="U19" s="374">
        <v>45</v>
      </c>
      <c r="V19" s="374"/>
      <c r="W19" s="374">
        <v>45</v>
      </c>
      <c r="X19" s="374">
        <v>45</v>
      </c>
      <c r="Y19" s="374"/>
      <c r="Z19" s="374"/>
      <c r="AA19" s="374"/>
      <c r="AB19" s="374"/>
      <c r="AC19" s="374"/>
      <c r="AD19" s="374"/>
      <c r="AE19" s="374"/>
      <c r="AF19" s="374"/>
      <c r="AG19" s="374"/>
      <c r="AH19" s="375">
        <f t="shared" si="1"/>
        <v>1395</v>
      </c>
      <c r="AI19" s="376"/>
      <c r="AJ19" s="371" t="s">
        <v>164</v>
      </c>
      <c r="AK19" s="372" t="s">
        <v>166</v>
      </c>
    </row>
    <row r="20" spans="1:39" x14ac:dyDescent="0.25">
      <c r="A20" s="69" t="s">
        <v>40</v>
      </c>
      <c r="B20" s="70" t="s">
        <v>41</v>
      </c>
      <c r="C20" s="71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>
        <v>0</v>
      </c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108">
        <f t="shared" si="1"/>
        <v>0</v>
      </c>
      <c r="AJ20" s="69" t="s">
        <v>40</v>
      </c>
      <c r="AK20" s="70" t="s">
        <v>41</v>
      </c>
    </row>
    <row r="21" spans="1:39" x14ac:dyDescent="0.25">
      <c r="A21" s="69" t="s">
        <v>42</v>
      </c>
      <c r="B21" s="70" t="s">
        <v>43</v>
      </c>
      <c r="C21" s="71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108">
        <f t="shared" si="1"/>
        <v>0</v>
      </c>
      <c r="AJ21" s="69" t="s">
        <v>42</v>
      </c>
      <c r="AK21" s="70" t="s">
        <v>43</v>
      </c>
    </row>
    <row r="22" spans="1:39" hidden="1" x14ac:dyDescent="0.25">
      <c r="A22" s="69" t="s">
        <v>44</v>
      </c>
      <c r="B22" s="70" t="s">
        <v>45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44</v>
      </c>
      <c r="AK22" s="70" t="s">
        <v>45</v>
      </c>
    </row>
    <row r="23" spans="1:39" hidden="1" x14ac:dyDescent="0.25">
      <c r="A23" s="69" t="s">
        <v>46</v>
      </c>
      <c r="B23" s="70" t="s">
        <v>47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46</v>
      </c>
      <c r="AK23" s="70" t="s">
        <v>47</v>
      </c>
    </row>
    <row r="24" spans="1:39" hidden="1" x14ac:dyDescent="0.25">
      <c r="A24" s="69" t="s">
        <v>48</v>
      </c>
      <c r="B24" s="70" t="s">
        <v>49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48</v>
      </c>
      <c r="AK24" s="70" t="s">
        <v>49</v>
      </c>
      <c r="AM24" s="211"/>
    </row>
    <row r="25" spans="1:39" x14ac:dyDescent="0.25">
      <c r="A25" s="69" t="s">
        <v>50</v>
      </c>
      <c r="B25" s="70" t="s">
        <v>51</v>
      </c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108">
        <f t="shared" si="1"/>
        <v>0</v>
      </c>
      <c r="AJ25" s="69" t="s">
        <v>50</v>
      </c>
      <c r="AK25" s="70" t="s">
        <v>51</v>
      </c>
    </row>
    <row r="26" spans="1:39" x14ac:dyDescent="0.25">
      <c r="A26" s="69" t="s">
        <v>52</v>
      </c>
      <c r="B26" s="70" t="s">
        <v>53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1"/>
        <v>0</v>
      </c>
      <c r="AJ26" s="75" t="s">
        <v>52</v>
      </c>
      <c r="AK26" s="76" t="s">
        <v>53</v>
      </c>
    </row>
    <row r="27" spans="1:39" ht="16.5" thickBot="1" x14ac:dyDescent="0.3">
      <c r="A27" s="77" t="s">
        <v>110</v>
      </c>
      <c r="B27" s="78" t="s">
        <v>86</v>
      </c>
      <c r="C27" s="79"/>
      <c r="D27" s="80">
        <v>36</v>
      </c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108">
        <f t="shared" si="1"/>
        <v>36</v>
      </c>
      <c r="AJ27" s="81" t="s">
        <v>110</v>
      </c>
      <c r="AK27" s="82" t="s">
        <v>86</v>
      </c>
      <c r="AL27" s="211"/>
    </row>
    <row r="28" spans="1:39" s="60" customFormat="1" ht="13.5" thickBot="1" x14ac:dyDescent="0.25">
      <c r="A28" s="200"/>
      <c r="B28" s="84" t="s">
        <v>64</v>
      </c>
      <c r="C28" s="107">
        <f t="shared" ref="C28:AG28" si="3">SUM(C3:C27)</f>
        <v>7758.0599999999995</v>
      </c>
      <c r="D28" s="107">
        <f t="shared" si="3"/>
        <v>7177.1999999999989</v>
      </c>
      <c r="E28" s="107">
        <f t="shared" si="3"/>
        <v>8025.7100000000009</v>
      </c>
      <c r="F28" s="107">
        <f t="shared" si="3"/>
        <v>12782.08</v>
      </c>
      <c r="G28" s="107">
        <f t="shared" si="3"/>
        <v>9614.14</v>
      </c>
      <c r="H28" s="107">
        <f t="shared" si="3"/>
        <v>12602.339999999998</v>
      </c>
      <c r="I28" s="107">
        <f t="shared" si="3"/>
        <v>8651.7800000000007</v>
      </c>
      <c r="J28" s="107">
        <f t="shared" si="3"/>
        <v>10033.310000000001</v>
      </c>
      <c r="K28" s="107">
        <f t="shared" si="3"/>
        <v>9284.19</v>
      </c>
      <c r="L28" s="107">
        <f t="shared" si="3"/>
        <v>10614.8</v>
      </c>
      <c r="M28" s="107">
        <f t="shared" si="3"/>
        <v>16187.69</v>
      </c>
      <c r="N28" s="107">
        <f t="shared" si="3"/>
        <v>12946.53</v>
      </c>
      <c r="O28" s="107">
        <f t="shared" si="3"/>
        <v>9005.619999999999</v>
      </c>
      <c r="P28" s="107">
        <f t="shared" si="3"/>
        <v>12438.07</v>
      </c>
      <c r="Q28" s="107">
        <f t="shared" si="3"/>
        <v>11241.359999999999</v>
      </c>
      <c r="R28" s="107">
        <f t="shared" si="3"/>
        <v>7497.1099999999988</v>
      </c>
      <c r="S28" s="107">
        <f t="shared" si="3"/>
        <v>10019.459999999999</v>
      </c>
      <c r="T28" s="107">
        <f t="shared" si="3"/>
        <v>12181.050000000001</v>
      </c>
      <c r="U28" s="107">
        <f t="shared" si="3"/>
        <v>5208.7299999999996</v>
      </c>
      <c r="V28" s="107">
        <f t="shared" si="3"/>
        <v>15153.029999999999</v>
      </c>
      <c r="W28" s="107">
        <f t="shared" si="3"/>
        <v>12418.060000000001</v>
      </c>
      <c r="X28" s="107">
        <f t="shared" si="3"/>
        <v>9562.9900000000016</v>
      </c>
      <c r="Y28" s="107">
        <f t="shared" si="3"/>
        <v>5460.95</v>
      </c>
      <c r="Z28" s="107">
        <f t="shared" si="3"/>
        <v>13818.76</v>
      </c>
      <c r="AA28" s="107">
        <f t="shared" si="3"/>
        <v>16869.11</v>
      </c>
      <c r="AB28" s="107">
        <f t="shared" si="3"/>
        <v>6610.14</v>
      </c>
      <c r="AC28" s="107">
        <f t="shared" si="3"/>
        <v>13483.069999999998</v>
      </c>
      <c r="AD28" s="107">
        <f t="shared" si="3"/>
        <v>12289.119999999999</v>
      </c>
      <c r="AE28" s="107">
        <f t="shared" si="3"/>
        <v>12070.460000000001</v>
      </c>
      <c r="AF28" s="107">
        <f t="shared" si="3"/>
        <v>10799.36</v>
      </c>
      <c r="AG28" s="107">
        <f t="shared" si="3"/>
        <v>0</v>
      </c>
      <c r="AH28" s="109">
        <f>SUM(C3:AG27)</f>
        <v>321804.28000000009</v>
      </c>
      <c r="AI28" s="85"/>
      <c r="AJ28" s="276"/>
      <c r="AK28" s="277" t="s">
        <v>64</v>
      </c>
    </row>
    <row r="29" spans="1:39" s="60" customFormat="1" ht="13.5" thickBot="1" x14ac:dyDescent="0.25">
      <c r="A29" s="201"/>
      <c r="B29" s="91" t="s">
        <v>105</v>
      </c>
      <c r="C29" s="72">
        <v>7758.06</v>
      </c>
      <c r="D29" s="72">
        <v>7177.2</v>
      </c>
      <c r="E29" s="72">
        <v>8025.71</v>
      </c>
      <c r="F29" s="72">
        <v>12782.08</v>
      </c>
      <c r="G29" s="72">
        <v>9614.14</v>
      </c>
      <c r="H29" s="72">
        <v>12602.34</v>
      </c>
      <c r="I29" s="72">
        <v>8651.7800000000007</v>
      </c>
      <c r="J29" s="72">
        <v>10083.31</v>
      </c>
      <c r="K29" s="72">
        <v>9284.19</v>
      </c>
      <c r="L29" s="72">
        <v>10614.8</v>
      </c>
      <c r="M29" s="72">
        <v>16187.69</v>
      </c>
      <c r="N29" s="72">
        <v>12946.53</v>
      </c>
      <c r="O29" s="72">
        <v>9005.6200000000008</v>
      </c>
      <c r="P29" s="72">
        <v>12438.07</v>
      </c>
      <c r="Q29" s="72">
        <v>11241.36</v>
      </c>
      <c r="R29" s="72">
        <v>7497.11</v>
      </c>
      <c r="S29" s="72">
        <v>10019.459999999999</v>
      </c>
      <c r="T29" s="72">
        <v>12181.05</v>
      </c>
      <c r="U29" s="72">
        <v>5208.7299999999996</v>
      </c>
      <c r="V29" s="72">
        <v>15153.03</v>
      </c>
      <c r="W29" s="72">
        <v>12418.06</v>
      </c>
      <c r="X29" s="72">
        <v>9622.99</v>
      </c>
      <c r="Y29" s="72">
        <v>5460.95</v>
      </c>
      <c r="Z29" s="72">
        <v>13818.76</v>
      </c>
      <c r="AA29" s="72">
        <v>16869.11</v>
      </c>
      <c r="AB29" s="72">
        <v>6610.14</v>
      </c>
      <c r="AC29" s="72">
        <v>13483.07</v>
      </c>
      <c r="AD29" s="72">
        <v>12289.12</v>
      </c>
      <c r="AE29" s="72">
        <v>12070.46</v>
      </c>
      <c r="AF29" s="72">
        <v>10799.36</v>
      </c>
      <c r="AG29" s="72"/>
      <c r="AH29" s="192">
        <f>SUM(C29:AG29)</f>
        <v>321914.28000000003</v>
      </c>
      <c r="AI29" s="85"/>
      <c r="AJ29" s="191"/>
      <c r="AK29" s="191"/>
    </row>
    <row r="30" spans="1:39" s="60" customFormat="1" thickBot="1" x14ac:dyDescent="0.3">
      <c r="A30" s="202"/>
      <c r="B30" s="104" t="s">
        <v>104</v>
      </c>
      <c r="C30" s="133">
        <f t="shared" ref="C30:AH30" si="4">C28-C29</f>
        <v>0</v>
      </c>
      <c r="D30" s="133">
        <f t="shared" si="4"/>
        <v>0</v>
      </c>
      <c r="E30" s="133">
        <f t="shared" si="4"/>
        <v>0</v>
      </c>
      <c r="F30" s="133">
        <f t="shared" si="4"/>
        <v>0</v>
      </c>
      <c r="G30" s="133">
        <f t="shared" si="4"/>
        <v>0</v>
      </c>
      <c r="H30" s="133">
        <f t="shared" si="4"/>
        <v>0</v>
      </c>
      <c r="I30" s="133">
        <f t="shared" si="4"/>
        <v>0</v>
      </c>
      <c r="J30" s="133">
        <f t="shared" si="4"/>
        <v>-49.999999999998181</v>
      </c>
      <c r="K30" s="133">
        <f t="shared" si="4"/>
        <v>0</v>
      </c>
      <c r="L30" s="133">
        <f t="shared" si="4"/>
        <v>0</v>
      </c>
      <c r="M30" s="133">
        <f t="shared" si="4"/>
        <v>0</v>
      </c>
      <c r="N30" s="133">
        <f t="shared" si="4"/>
        <v>0</v>
      </c>
      <c r="O30" s="133">
        <f t="shared" si="4"/>
        <v>0</v>
      </c>
      <c r="P30" s="133">
        <f t="shared" si="4"/>
        <v>0</v>
      </c>
      <c r="Q30" s="133">
        <f t="shared" si="4"/>
        <v>0</v>
      </c>
      <c r="R30" s="133">
        <f t="shared" si="4"/>
        <v>0</v>
      </c>
      <c r="S30" s="133">
        <f t="shared" si="4"/>
        <v>0</v>
      </c>
      <c r="T30" s="133">
        <f t="shared" si="4"/>
        <v>0</v>
      </c>
      <c r="U30" s="133">
        <f t="shared" si="4"/>
        <v>0</v>
      </c>
      <c r="V30" s="133">
        <f t="shared" si="4"/>
        <v>0</v>
      </c>
      <c r="W30" s="133">
        <f t="shared" si="4"/>
        <v>0</v>
      </c>
      <c r="X30" s="133">
        <f t="shared" si="4"/>
        <v>-59.999999999998181</v>
      </c>
      <c r="Y30" s="133">
        <f t="shared" si="4"/>
        <v>0</v>
      </c>
      <c r="Z30" s="133">
        <f t="shared" si="4"/>
        <v>0</v>
      </c>
      <c r="AA30" s="133">
        <f t="shared" si="4"/>
        <v>0</v>
      </c>
      <c r="AB30" s="133">
        <f t="shared" si="4"/>
        <v>0</v>
      </c>
      <c r="AC30" s="133">
        <f t="shared" si="4"/>
        <v>0</v>
      </c>
      <c r="AD30" s="133">
        <f t="shared" si="4"/>
        <v>0</v>
      </c>
      <c r="AE30" s="133">
        <f t="shared" si="4"/>
        <v>0</v>
      </c>
      <c r="AF30" s="133">
        <f t="shared" si="4"/>
        <v>0</v>
      </c>
      <c r="AG30" s="133">
        <f t="shared" si="4"/>
        <v>0</v>
      </c>
      <c r="AH30" s="278">
        <f t="shared" si="4"/>
        <v>-109.99999999994179</v>
      </c>
      <c r="AI30" s="85"/>
      <c r="AJ30" s="500" t="s">
        <v>130</v>
      </c>
      <c r="AK30" s="501"/>
      <c r="AL30" s="501"/>
      <c r="AM30" s="502"/>
    </row>
    <row r="31" spans="1:39" ht="16.5" thickBot="1" x14ac:dyDescent="0.3">
      <c r="A31" s="196"/>
      <c r="B31" s="197"/>
      <c r="C31" s="198"/>
      <c r="D31" s="197"/>
      <c r="E31" s="197"/>
      <c r="F31" s="197"/>
      <c r="G31" s="197"/>
      <c r="H31" s="279"/>
      <c r="I31" s="197"/>
      <c r="J31" s="197"/>
      <c r="K31" s="197"/>
      <c r="L31" s="197"/>
      <c r="M31" s="197"/>
      <c r="N31" s="197"/>
      <c r="O31" s="197"/>
      <c r="P31" s="197"/>
      <c r="Q31" s="197"/>
      <c r="R31" s="264"/>
      <c r="S31" s="197"/>
      <c r="T31" s="197"/>
      <c r="U31" s="197"/>
      <c r="V31" s="197"/>
      <c r="W31" s="197"/>
      <c r="X31" s="197"/>
      <c r="Y31" s="198"/>
      <c r="Z31" s="197"/>
      <c r="AA31" s="197"/>
      <c r="AB31" s="197"/>
      <c r="AC31" s="197"/>
      <c r="AD31" s="197"/>
      <c r="AE31" s="197"/>
      <c r="AF31" s="197"/>
      <c r="AG31" s="197"/>
      <c r="AH31" s="199"/>
      <c r="AJ31" s="283" t="s">
        <v>66</v>
      </c>
      <c r="AK31" s="284" t="s">
        <v>131</v>
      </c>
      <c r="AL31" s="284" t="s">
        <v>123</v>
      </c>
      <c r="AM31" s="285" t="s">
        <v>124</v>
      </c>
    </row>
    <row r="32" spans="1:39" x14ac:dyDescent="0.25">
      <c r="A32" s="89" t="s">
        <v>60</v>
      </c>
      <c r="B32" s="84" t="s">
        <v>54</v>
      </c>
      <c r="C32" s="393">
        <v>1412.7</v>
      </c>
      <c r="D32" s="393">
        <v>1626.77</v>
      </c>
      <c r="E32" s="393">
        <v>2079.1999999999998</v>
      </c>
      <c r="F32" s="393">
        <v>3196.83</v>
      </c>
      <c r="G32" s="393">
        <v>2083.41</v>
      </c>
      <c r="H32" s="393">
        <v>2395.52</v>
      </c>
      <c r="I32" s="393">
        <v>1243.3499999999999</v>
      </c>
      <c r="J32" s="393">
        <v>1961.66</v>
      </c>
      <c r="K32" s="393">
        <v>1515.42</v>
      </c>
      <c r="L32" s="393">
        <v>1729.48</v>
      </c>
      <c r="M32" s="393">
        <v>3619.09</v>
      </c>
      <c r="N32" s="393">
        <v>3133.13</v>
      </c>
      <c r="O32" s="393">
        <v>1620.98</v>
      </c>
      <c r="P32" s="393">
        <v>2449.25</v>
      </c>
      <c r="Q32" s="393">
        <v>2356.89</v>
      </c>
      <c r="R32" s="393">
        <v>1740.11</v>
      </c>
      <c r="S32" s="393">
        <v>1209.96</v>
      </c>
      <c r="T32" s="393">
        <v>2171.17</v>
      </c>
      <c r="U32" s="393">
        <v>738.49</v>
      </c>
      <c r="V32" s="393">
        <v>2038.25</v>
      </c>
      <c r="W32" s="393">
        <v>2207.84</v>
      </c>
      <c r="X32" s="393">
        <v>1536.52</v>
      </c>
      <c r="Y32" s="393">
        <v>1054.69</v>
      </c>
      <c r="Z32" s="393">
        <v>2247.41</v>
      </c>
      <c r="AA32" s="393">
        <v>3255.29</v>
      </c>
      <c r="AB32" s="393">
        <v>1307.42</v>
      </c>
      <c r="AC32" s="393">
        <v>2432.92</v>
      </c>
      <c r="AD32" s="394">
        <v>2394.2800000000002</v>
      </c>
      <c r="AE32" s="394">
        <v>1886.67</v>
      </c>
      <c r="AF32" s="394">
        <v>1389.81</v>
      </c>
      <c r="AG32" s="394"/>
      <c r="AH32" s="110">
        <f>SUM(C32:AG32)</f>
        <v>60034.509999999987</v>
      </c>
      <c r="AJ32" s="137" t="s">
        <v>60</v>
      </c>
      <c r="AK32" s="138" t="s">
        <v>125</v>
      </c>
      <c r="AL32" s="388">
        <f>SUM(C32:AC32)</f>
        <v>54363.749999999993</v>
      </c>
      <c r="AM32" s="389">
        <f>SUM(AD32:AG32)</f>
        <v>5670.76</v>
      </c>
    </row>
    <row r="33" spans="1:40" x14ac:dyDescent="0.25">
      <c r="A33" s="90" t="s">
        <v>60</v>
      </c>
      <c r="B33" s="91" t="s">
        <v>55</v>
      </c>
      <c r="C33" s="470">
        <v>6413.83</v>
      </c>
      <c r="D33" s="470">
        <v>5569.43</v>
      </c>
      <c r="E33" s="470">
        <v>6013.51</v>
      </c>
      <c r="F33" s="470">
        <v>9589.0300000000007</v>
      </c>
      <c r="G33" s="470">
        <v>7533.3</v>
      </c>
      <c r="H33" s="470">
        <v>10177.879999999999</v>
      </c>
      <c r="I33" s="470">
        <v>7344.41</v>
      </c>
      <c r="J33" s="470">
        <v>8059.17</v>
      </c>
      <c r="K33" s="470">
        <v>7859.57</v>
      </c>
      <c r="L33" s="470">
        <v>8865.19</v>
      </c>
      <c r="M33" s="470">
        <v>12571.6</v>
      </c>
      <c r="N33" s="470">
        <v>9808.06</v>
      </c>
      <c r="O33" s="470">
        <v>7363.61</v>
      </c>
      <c r="P33" s="470">
        <v>9880.15</v>
      </c>
      <c r="Q33" s="470">
        <v>8884.4699999999993</v>
      </c>
      <c r="R33" s="470">
        <v>5757</v>
      </c>
      <c r="S33" s="470">
        <v>8809.5</v>
      </c>
      <c r="T33" s="470">
        <v>10021.57</v>
      </c>
      <c r="U33" s="470">
        <f>4788.96-328</f>
        <v>4460.96</v>
      </c>
      <c r="V33" s="470">
        <v>13081.3</v>
      </c>
      <c r="W33" s="470">
        <v>10208.75</v>
      </c>
      <c r="X33" s="470">
        <v>8007.86</v>
      </c>
      <c r="Y33" s="470">
        <v>4406.49</v>
      </c>
      <c r="Z33" s="470">
        <v>11569.93</v>
      </c>
      <c r="AA33" s="470">
        <v>13599.04</v>
      </c>
      <c r="AB33" s="470">
        <v>5294.55</v>
      </c>
      <c r="AC33" s="480">
        <v>11054.47</v>
      </c>
      <c r="AD33" s="480">
        <v>9885.94</v>
      </c>
      <c r="AE33" s="480">
        <v>10183.790000000001</v>
      </c>
      <c r="AF33" s="480">
        <v>9359.26</v>
      </c>
      <c r="AG33" s="392"/>
      <c r="AH33" s="111">
        <f t="shared" ref="AH33:AH37" si="5">SUM(C33:AG33)</f>
        <v>261633.62</v>
      </c>
      <c r="AJ33" s="129" t="s">
        <v>60</v>
      </c>
      <c r="AK33" s="130" t="s">
        <v>208</v>
      </c>
      <c r="AL33" s="291">
        <f>SUM(C33:AB33)-AL44</f>
        <v>214409.78999999998</v>
      </c>
      <c r="AM33" s="292">
        <f>SUM(AC33:AG33)-AM44</f>
        <v>39264.129999999997</v>
      </c>
    </row>
    <row r="34" spans="1:40" x14ac:dyDescent="0.25">
      <c r="A34" s="92" t="s">
        <v>60</v>
      </c>
      <c r="B34" s="93" t="s">
        <v>98</v>
      </c>
      <c r="C34" s="382"/>
      <c r="D34" s="382"/>
      <c r="E34" s="382"/>
      <c r="F34" s="391"/>
      <c r="G34" s="382"/>
      <c r="H34" s="382"/>
      <c r="I34" s="382"/>
      <c r="J34" s="382"/>
      <c r="K34" s="382"/>
      <c r="L34" s="382"/>
      <c r="M34" s="382"/>
      <c r="N34" s="382"/>
      <c r="O34" s="382"/>
      <c r="P34" s="382"/>
      <c r="Q34" s="382"/>
      <c r="R34" s="382"/>
      <c r="S34" s="382"/>
      <c r="T34" s="382"/>
      <c r="U34" s="382"/>
      <c r="V34" s="382"/>
      <c r="W34" s="382"/>
      <c r="X34" s="382"/>
      <c r="Y34" s="383"/>
      <c r="Z34" s="383"/>
      <c r="AA34" s="382"/>
      <c r="AB34" s="382"/>
      <c r="AC34" s="382"/>
      <c r="AD34" s="382"/>
      <c r="AE34" s="382"/>
      <c r="AF34" s="382"/>
      <c r="AG34" s="382"/>
      <c r="AH34" s="111">
        <f t="shared" si="5"/>
        <v>0</v>
      </c>
      <c r="AJ34" s="129" t="s">
        <v>60</v>
      </c>
      <c r="AK34" s="130" t="s">
        <v>126</v>
      </c>
      <c r="AL34" s="291">
        <f>SUM(C34:AE34)</f>
        <v>0</v>
      </c>
      <c r="AM34" s="292">
        <f>SUM(AE34:AG34)</f>
        <v>0</v>
      </c>
    </row>
    <row r="35" spans="1:40" hidden="1" x14ac:dyDescent="0.25">
      <c r="A35" s="92" t="s">
        <v>60</v>
      </c>
      <c r="B35" s="93" t="s">
        <v>99</v>
      </c>
      <c r="C35" s="382"/>
      <c r="D35" s="382"/>
      <c r="E35" s="382"/>
      <c r="F35" s="382"/>
      <c r="G35" s="382"/>
      <c r="H35" s="382"/>
      <c r="I35" s="382"/>
      <c r="J35" s="382"/>
      <c r="K35" s="382"/>
      <c r="L35" s="382"/>
      <c r="M35" s="382"/>
      <c r="N35" s="382"/>
      <c r="O35" s="382"/>
      <c r="P35" s="382"/>
      <c r="Q35" s="382"/>
      <c r="R35" s="382"/>
      <c r="S35" s="382"/>
      <c r="T35" s="382"/>
      <c r="U35" s="382"/>
      <c r="V35" s="382"/>
      <c r="W35" s="382"/>
      <c r="X35" s="382"/>
      <c r="Y35" s="382"/>
      <c r="Z35" s="382"/>
      <c r="AA35" s="382"/>
      <c r="AB35" s="382"/>
      <c r="AC35" s="382"/>
      <c r="AD35" s="382"/>
      <c r="AE35" s="382"/>
      <c r="AF35" s="382"/>
      <c r="AG35" s="382"/>
      <c r="AH35" s="111">
        <f t="shared" si="5"/>
        <v>0</v>
      </c>
      <c r="AJ35" s="129" t="s">
        <v>60</v>
      </c>
      <c r="AK35" s="130" t="s">
        <v>127</v>
      </c>
      <c r="AL35" s="291"/>
      <c r="AM35" s="390"/>
    </row>
    <row r="36" spans="1:40" ht="16.5" customHeight="1" x14ac:dyDescent="0.25">
      <c r="A36" s="92" t="s">
        <v>67</v>
      </c>
      <c r="B36" s="93" t="s">
        <v>68</v>
      </c>
      <c r="C36" s="382"/>
      <c r="D36" s="382"/>
      <c r="E36" s="382"/>
      <c r="F36" s="382"/>
      <c r="G36" s="382"/>
      <c r="H36" s="382"/>
      <c r="I36" s="382"/>
      <c r="J36" s="382">
        <v>44</v>
      </c>
      <c r="K36" s="382"/>
      <c r="L36" s="382"/>
      <c r="M36" s="382"/>
      <c r="N36" s="382"/>
      <c r="O36" s="382"/>
      <c r="P36" s="382"/>
      <c r="Q36" s="382"/>
      <c r="R36" s="382"/>
      <c r="S36" s="382"/>
      <c r="T36" s="382"/>
      <c r="U36" s="382"/>
      <c r="V36" s="382"/>
      <c r="W36" s="382"/>
      <c r="X36" s="382"/>
      <c r="Y36" s="382"/>
      <c r="Z36" s="382"/>
      <c r="AA36" s="382"/>
      <c r="AB36" s="382"/>
      <c r="AC36" s="382"/>
      <c r="AD36" s="382"/>
      <c r="AE36" s="382"/>
      <c r="AF36" s="382"/>
      <c r="AG36" s="382"/>
      <c r="AH36" s="111">
        <f t="shared" si="5"/>
        <v>44</v>
      </c>
      <c r="AJ36" s="129" t="s">
        <v>67</v>
      </c>
      <c r="AK36" s="130" t="s">
        <v>92</v>
      </c>
      <c r="AL36" s="270">
        <f>AH36</f>
        <v>44</v>
      </c>
      <c r="AM36" s="271"/>
      <c r="AN36" s="266" t="s">
        <v>128</v>
      </c>
    </row>
    <row r="37" spans="1:40" ht="16.5" thickBot="1" x14ac:dyDescent="0.3">
      <c r="A37" s="81" t="s">
        <v>110</v>
      </c>
      <c r="B37" s="94" t="s">
        <v>85</v>
      </c>
      <c r="C37" s="384"/>
      <c r="D37" s="384"/>
      <c r="E37" s="384"/>
      <c r="F37" s="384"/>
      <c r="G37" s="384"/>
      <c r="H37" s="384"/>
      <c r="I37" s="384"/>
      <c r="J37" s="384"/>
      <c r="K37" s="384"/>
      <c r="L37" s="384"/>
      <c r="M37" s="384"/>
      <c r="N37" s="384"/>
      <c r="O37" s="384"/>
      <c r="P37" s="384"/>
      <c r="Q37" s="384"/>
      <c r="R37" s="384"/>
      <c r="S37" s="384"/>
      <c r="T37" s="384"/>
      <c r="U37" s="384"/>
      <c r="V37" s="384">
        <v>36</v>
      </c>
      <c r="W37" s="384"/>
      <c r="X37" s="384"/>
      <c r="Y37" s="384"/>
      <c r="Z37" s="384"/>
      <c r="AA37" s="384"/>
      <c r="AB37" s="384"/>
      <c r="AC37" s="384"/>
      <c r="AD37" s="384"/>
      <c r="AE37" s="384"/>
      <c r="AF37" s="384"/>
      <c r="AG37" s="384"/>
      <c r="AH37" s="112">
        <f t="shared" si="5"/>
        <v>36</v>
      </c>
      <c r="AJ37" s="129" t="s">
        <v>110</v>
      </c>
      <c r="AK37" s="130" t="s">
        <v>159</v>
      </c>
      <c r="AL37" s="270">
        <f>AH37</f>
        <v>36</v>
      </c>
      <c r="AM37" s="271"/>
    </row>
    <row r="38" spans="1:40" ht="16.5" thickBot="1" x14ac:dyDescent="0.3">
      <c r="A38" s="203"/>
      <c r="B38" s="194" t="s">
        <v>65</v>
      </c>
      <c r="C38" s="107">
        <f t="shared" ref="C38:AG38" si="6">SUM(C32:C37)</f>
        <v>7826.53</v>
      </c>
      <c r="D38" s="107">
        <f t="shared" si="6"/>
        <v>7196.2000000000007</v>
      </c>
      <c r="E38" s="107">
        <f t="shared" si="6"/>
        <v>8092.71</v>
      </c>
      <c r="F38" s="107">
        <f t="shared" si="6"/>
        <v>12785.86</v>
      </c>
      <c r="G38" s="107">
        <f t="shared" si="6"/>
        <v>9616.7099999999991</v>
      </c>
      <c r="H38" s="107">
        <f t="shared" si="6"/>
        <v>12573.4</v>
      </c>
      <c r="I38" s="107">
        <f t="shared" si="6"/>
        <v>8587.76</v>
      </c>
      <c r="J38" s="107">
        <f t="shared" si="6"/>
        <v>10064.83</v>
      </c>
      <c r="K38" s="107">
        <f t="shared" si="6"/>
        <v>9374.99</v>
      </c>
      <c r="L38" s="107">
        <f t="shared" si="6"/>
        <v>10594.67</v>
      </c>
      <c r="M38" s="107">
        <f t="shared" si="6"/>
        <v>16190.69</v>
      </c>
      <c r="N38" s="107">
        <f t="shared" si="6"/>
        <v>12941.189999999999</v>
      </c>
      <c r="O38" s="107">
        <f t="shared" si="6"/>
        <v>8984.59</v>
      </c>
      <c r="P38" s="107">
        <f t="shared" si="6"/>
        <v>12329.4</v>
      </c>
      <c r="Q38" s="107">
        <f t="shared" si="6"/>
        <v>11241.359999999999</v>
      </c>
      <c r="R38" s="107">
        <f t="shared" si="6"/>
        <v>7497.11</v>
      </c>
      <c r="S38" s="107">
        <f t="shared" si="6"/>
        <v>10019.459999999999</v>
      </c>
      <c r="T38" s="107">
        <f t="shared" si="6"/>
        <v>12192.74</v>
      </c>
      <c r="U38" s="107">
        <f t="shared" si="6"/>
        <v>5199.45</v>
      </c>
      <c r="V38" s="107">
        <f t="shared" si="6"/>
        <v>15155.55</v>
      </c>
      <c r="W38" s="107">
        <f t="shared" si="6"/>
        <v>12416.59</v>
      </c>
      <c r="X38" s="107">
        <f t="shared" si="6"/>
        <v>9544.3799999999992</v>
      </c>
      <c r="Y38" s="107">
        <f t="shared" si="6"/>
        <v>5461.18</v>
      </c>
      <c r="Z38" s="107">
        <f t="shared" si="6"/>
        <v>13817.34</v>
      </c>
      <c r="AA38" s="107">
        <f t="shared" si="6"/>
        <v>16854.330000000002</v>
      </c>
      <c r="AB38" s="107">
        <f t="shared" si="6"/>
        <v>6601.97</v>
      </c>
      <c r="AC38" s="107">
        <f t="shared" si="6"/>
        <v>13487.39</v>
      </c>
      <c r="AD38" s="107">
        <f t="shared" si="6"/>
        <v>12280.220000000001</v>
      </c>
      <c r="AE38" s="107">
        <f t="shared" si="6"/>
        <v>12070.460000000001</v>
      </c>
      <c r="AF38" s="107">
        <f t="shared" si="6"/>
        <v>10749.07</v>
      </c>
      <c r="AG38" s="107">
        <f t="shared" si="6"/>
        <v>0</v>
      </c>
      <c r="AH38" s="110">
        <f>SUM(C38:AG38)</f>
        <v>321748.13</v>
      </c>
      <c r="AI38" s="59"/>
      <c r="AJ38" s="496" t="s">
        <v>76</v>
      </c>
      <c r="AK38" s="497"/>
      <c r="AL38" s="498">
        <f>SUM(AL32:AM37)</f>
        <v>313788.43</v>
      </c>
      <c r="AM38" s="499"/>
      <c r="AN38" s="274">
        <f>AL38-AH38+AH44</f>
        <v>-1.2732925824820995E-11</v>
      </c>
    </row>
    <row r="39" spans="1:40" x14ac:dyDescent="0.25">
      <c r="A39" s="204"/>
      <c r="B39" s="195" t="s">
        <v>105</v>
      </c>
      <c r="C39" s="72">
        <f>C29</f>
        <v>7758.06</v>
      </c>
      <c r="D39" s="72">
        <f t="shared" ref="D39:AG39" si="7">D29</f>
        <v>7177.2</v>
      </c>
      <c r="E39" s="72">
        <f t="shared" si="7"/>
        <v>8025.71</v>
      </c>
      <c r="F39" s="72">
        <f t="shared" si="7"/>
        <v>12782.08</v>
      </c>
      <c r="G39" s="72">
        <f t="shared" si="7"/>
        <v>9614.14</v>
      </c>
      <c r="H39" s="72">
        <f t="shared" si="7"/>
        <v>12602.34</v>
      </c>
      <c r="I39" s="72">
        <f t="shared" si="7"/>
        <v>8651.7800000000007</v>
      </c>
      <c r="J39" s="72">
        <f t="shared" si="7"/>
        <v>10083.31</v>
      </c>
      <c r="K39" s="72">
        <f t="shared" si="7"/>
        <v>9284.19</v>
      </c>
      <c r="L39" s="72">
        <f t="shared" si="7"/>
        <v>10614.8</v>
      </c>
      <c r="M39" s="72">
        <f t="shared" si="7"/>
        <v>16187.69</v>
      </c>
      <c r="N39" s="72">
        <f t="shared" si="7"/>
        <v>12946.53</v>
      </c>
      <c r="O39" s="72">
        <f t="shared" si="7"/>
        <v>9005.6200000000008</v>
      </c>
      <c r="P39" s="72">
        <f t="shared" si="7"/>
        <v>12438.07</v>
      </c>
      <c r="Q39" s="72">
        <f t="shared" si="7"/>
        <v>11241.36</v>
      </c>
      <c r="R39" s="72">
        <f t="shared" si="7"/>
        <v>7497.11</v>
      </c>
      <c r="S39" s="72">
        <f t="shared" si="7"/>
        <v>10019.459999999999</v>
      </c>
      <c r="T39" s="72">
        <f t="shared" si="7"/>
        <v>12181.05</v>
      </c>
      <c r="U39" s="72">
        <f t="shared" si="7"/>
        <v>5208.7299999999996</v>
      </c>
      <c r="V39" s="72">
        <f t="shared" si="7"/>
        <v>15153.03</v>
      </c>
      <c r="W39" s="72">
        <f t="shared" si="7"/>
        <v>12418.06</v>
      </c>
      <c r="X39" s="72">
        <f t="shared" si="7"/>
        <v>9622.99</v>
      </c>
      <c r="Y39" s="72">
        <f t="shared" si="7"/>
        <v>5460.95</v>
      </c>
      <c r="Z39" s="72">
        <f t="shared" si="7"/>
        <v>13818.76</v>
      </c>
      <c r="AA39" s="72">
        <f t="shared" si="7"/>
        <v>16869.11</v>
      </c>
      <c r="AB39" s="72">
        <f t="shared" si="7"/>
        <v>6610.14</v>
      </c>
      <c r="AC39" s="72">
        <f t="shared" si="7"/>
        <v>13483.07</v>
      </c>
      <c r="AD39" s="72">
        <f t="shared" si="7"/>
        <v>12289.12</v>
      </c>
      <c r="AE39" s="72">
        <f t="shared" si="7"/>
        <v>12070.46</v>
      </c>
      <c r="AF39" s="72">
        <f t="shared" si="7"/>
        <v>10799.36</v>
      </c>
      <c r="AG39" s="72">
        <f t="shared" si="7"/>
        <v>0</v>
      </c>
      <c r="AH39" s="111">
        <f t="shared" ref="AH39" si="8">SUM(C39:AG39)</f>
        <v>321914.28000000003</v>
      </c>
      <c r="AJ39" s="59"/>
      <c r="AK39" s="59"/>
    </row>
    <row r="40" spans="1:40" ht="16.5" thickBot="1" x14ac:dyDescent="0.3">
      <c r="A40" s="205"/>
      <c r="B40" s="104" t="s">
        <v>104</v>
      </c>
      <c r="C40" s="133">
        <f>C38-C39</f>
        <v>68.469999999999345</v>
      </c>
      <c r="D40" s="133">
        <f>D38-D39</f>
        <v>19.000000000000909</v>
      </c>
      <c r="E40" s="133">
        <f>E38-E39</f>
        <v>67</v>
      </c>
      <c r="F40" s="133">
        <f t="shared" ref="F40:AG40" si="9">F38-F39</f>
        <v>3.7800000000006548</v>
      </c>
      <c r="G40" s="133">
        <f t="shared" si="9"/>
        <v>2.569999999999709</v>
      </c>
      <c r="H40" s="133">
        <f t="shared" si="9"/>
        <v>-28.940000000000509</v>
      </c>
      <c r="I40" s="133">
        <f t="shared" si="9"/>
        <v>-64.020000000000437</v>
      </c>
      <c r="J40" s="133">
        <f>J38-J39</f>
        <v>-18.479999999999563</v>
      </c>
      <c r="K40" s="133">
        <f t="shared" si="9"/>
        <v>90.799999999999272</v>
      </c>
      <c r="L40" s="133">
        <f t="shared" si="9"/>
        <v>-20.1299999999992</v>
      </c>
      <c r="M40" s="133">
        <f t="shared" si="9"/>
        <v>3</v>
      </c>
      <c r="N40" s="133">
        <f t="shared" si="9"/>
        <v>-5.3400000000019645</v>
      </c>
      <c r="O40" s="133">
        <f t="shared" si="9"/>
        <v>-21.030000000000655</v>
      </c>
      <c r="P40" s="133">
        <f t="shared" si="9"/>
        <v>-108.67000000000007</v>
      </c>
      <c r="Q40" s="133">
        <f t="shared" si="9"/>
        <v>0</v>
      </c>
      <c r="R40" s="133">
        <f t="shared" si="9"/>
        <v>0</v>
      </c>
      <c r="S40" s="133">
        <f t="shared" si="9"/>
        <v>0</v>
      </c>
      <c r="T40" s="133">
        <f t="shared" si="9"/>
        <v>11.690000000000509</v>
      </c>
      <c r="U40" s="133">
        <f t="shared" si="9"/>
        <v>-9.2799999999997453</v>
      </c>
      <c r="V40" s="133">
        <f t="shared" si="9"/>
        <v>2.5199999999986176</v>
      </c>
      <c r="W40" s="133">
        <f t="shared" si="9"/>
        <v>-1.4699999999993452</v>
      </c>
      <c r="X40" s="133">
        <f t="shared" si="9"/>
        <v>-78.610000000000582</v>
      </c>
      <c r="Y40" s="133">
        <f t="shared" si="9"/>
        <v>0.23000000000047294</v>
      </c>
      <c r="Z40" s="133">
        <f t="shared" si="9"/>
        <v>-1.4200000000000728</v>
      </c>
      <c r="AA40" s="133">
        <f t="shared" si="9"/>
        <v>-14.779999999998836</v>
      </c>
      <c r="AB40" s="133">
        <f t="shared" si="9"/>
        <v>-8.1700000000000728</v>
      </c>
      <c r="AC40" s="133">
        <f t="shared" si="9"/>
        <v>4.319999999999709</v>
      </c>
      <c r="AD40" s="133">
        <f t="shared" si="9"/>
        <v>-8.8999999999996362</v>
      </c>
      <c r="AE40" s="133">
        <f t="shared" si="9"/>
        <v>0</v>
      </c>
      <c r="AF40" s="133">
        <f t="shared" si="9"/>
        <v>-50.290000000000873</v>
      </c>
      <c r="AG40" s="133">
        <f t="shared" si="9"/>
        <v>0</v>
      </c>
      <c r="AH40" s="112">
        <f>SUM(C40:AG40)</f>
        <v>-166.15000000000236</v>
      </c>
      <c r="AJ40" s="378">
        <f>AH38-AH39</f>
        <v>-166.15000000002328</v>
      </c>
      <c r="AK40" s="269"/>
      <c r="AL40" s="99"/>
    </row>
    <row r="41" spans="1:40" ht="16.5" thickBot="1" x14ac:dyDescent="0.3">
      <c r="A41" s="95"/>
      <c r="B41" s="96"/>
      <c r="C41" s="97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8"/>
      <c r="AJ41" s="269"/>
      <c r="AK41" s="269"/>
      <c r="AL41" s="99"/>
      <c r="AM41" s="191"/>
      <c r="AN41" s="193"/>
    </row>
    <row r="42" spans="1:40" s="99" customFormat="1" ht="16.5" thickBot="1" x14ac:dyDescent="0.3">
      <c r="A42" s="100"/>
      <c r="B42" s="101" t="s">
        <v>56</v>
      </c>
      <c r="C42" s="114">
        <f t="shared" ref="C42:AG42" si="10">SUM(C3:C27)-SUM(C32:C37)</f>
        <v>-68.470000000000255</v>
      </c>
      <c r="D42" s="114">
        <f t="shared" si="10"/>
        <v>-19.000000000001819</v>
      </c>
      <c r="E42" s="114">
        <f t="shared" si="10"/>
        <v>-66.999999999999091</v>
      </c>
      <c r="F42" s="114">
        <f t="shared" si="10"/>
        <v>-3.7800000000006548</v>
      </c>
      <c r="G42" s="114">
        <f t="shared" si="10"/>
        <v>-2.569999999999709</v>
      </c>
      <c r="H42" s="114">
        <f t="shared" si="10"/>
        <v>28.93999999999869</v>
      </c>
      <c r="I42" s="114">
        <f t="shared" si="10"/>
        <v>64.020000000000437</v>
      </c>
      <c r="J42" s="114">
        <f t="shared" si="10"/>
        <v>-31.519999999998618</v>
      </c>
      <c r="K42" s="114">
        <f t="shared" si="10"/>
        <v>-90.799999999999272</v>
      </c>
      <c r="L42" s="114">
        <f t="shared" si="10"/>
        <v>20.1299999999992</v>
      </c>
      <c r="M42" s="114">
        <f t="shared" si="10"/>
        <v>-3</v>
      </c>
      <c r="N42" s="114">
        <f t="shared" si="10"/>
        <v>5.3400000000019645</v>
      </c>
      <c r="O42" s="114">
        <f t="shared" si="10"/>
        <v>21.029999999998836</v>
      </c>
      <c r="P42" s="114">
        <f t="shared" si="10"/>
        <v>108.67000000000007</v>
      </c>
      <c r="Q42" s="114">
        <f t="shared" si="10"/>
        <v>0</v>
      </c>
      <c r="R42" s="114">
        <f t="shared" si="10"/>
        <v>0</v>
      </c>
      <c r="S42" s="114">
        <f t="shared" si="10"/>
        <v>0</v>
      </c>
      <c r="T42" s="114">
        <f t="shared" si="10"/>
        <v>-11.68999999999869</v>
      </c>
      <c r="U42" s="114">
        <f t="shared" si="10"/>
        <v>9.2799999999997453</v>
      </c>
      <c r="V42" s="114">
        <f t="shared" si="10"/>
        <v>-2.5200000000004366</v>
      </c>
      <c r="W42" s="114">
        <f t="shared" si="10"/>
        <v>1.4700000000011642</v>
      </c>
      <c r="X42" s="114">
        <f t="shared" si="10"/>
        <v>18.610000000002401</v>
      </c>
      <c r="Y42" s="114">
        <f t="shared" si="10"/>
        <v>-0.23000000000047294</v>
      </c>
      <c r="Z42" s="114">
        <f t="shared" si="10"/>
        <v>1.4200000000000728</v>
      </c>
      <c r="AA42" s="114">
        <f t="shared" si="10"/>
        <v>14.779999999998836</v>
      </c>
      <c r="AB42" s="114">
        <f t="shared" si="10"/>
        <v>8.1700000000000728</v>
      </c>
      <c r="AC42" s="114">
        <f t="shared" si="10"/>
        <v>-4.320000000001528</v>
      </c>
      <c r="AD42" s="114">
        <f t="shared" si="10"/>
        <v>8.8999999999978172</v>
      </c>
      <c r="AE42" s="114">
        <f t="shared" si="10"/>
        <v>0</v>
      </c>
      <c r="AF42" s="114">
        <f t="shared" si="10"/>
        <v>50.290000000000873</v>
      </c>
      <c r="AG42" s="114">
        <f t="shared" si="10"/>
        <v>0</v>
      </c>
      <c r="AH42" s="115">
        <f>SUM(C42:AG42)</f>
        <v>56.149999999999636</v>
      </c>
      <c r="AI42" s="62"/>
      <c r="AJ42" s="212" t="s">
        <v>32</v>
      </c>
      <c r="AK42" s="213" t="s">
        <v>91</v>
      </c>
      <c r="AL42" s="272">
        <f>AH42</f>
        <v>56.149999999999636</v>
      </c>
      <c r="AM42" s="273"/>
      <c r="AN42" s="275" t="s">
        <v>129</v>
      </c>
    </row>
    <row r="43" spans="1:40" s="102" customFormat="1" ht="16.5" thickBot="1" x14ac:dyDescent="0.3">
      <c r="A43" s="225"/>
      <c r="B43" s="226"/>
      <c r="C43" s="226"/>
      <c r="D43" s="226"/>
      <c r="E43" s="226"/>
      <c r="F43" s="226"/>
      <c r="G43" s="226"/>
      <c r="H43" s="226"/>
      <c r="I43" s="226"/>
      <c r="J43" s="226"/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226"/>
      <c r="Z43" s="226"/>
      <c r="AA43" s="226"/>
      <c r="AB43" s="226"/>
      <c r="AC43" s="226"/>
      <c r="AD43" s="226"/>
      <c r="AE43" s="226"/>
      <c r="AF43" s="226"/>
      <c r="AG43" s="226"/>
      <c r="AH43" s="227"/>
      <c r="AI43" s="62"/>
      <c r="AJ43" s="225"/>
      <c r="AK43" s="226"/>
      <c r="AL43" s="99"/>
      <c r="AM43" s="489">
        <f>AL38+AL42+AM42+AL44+AM44</f>
        <v>321804.28000000003</v>
      </c>
      <c r="AN43" s="488">
        <f>AM43-AH28</f>
        <v>0</v>
      </c>
    </row>
    <row r="44" spans="1:40" s="99" customFormat="1" ht="16.5" thickBot="1" x14ac:dyDescent="0.3">
      <c r="A44" s="212" t="s">
        <v>204</v>
      </c>
      <c r="B44" s="101" t="s">
        <v>203</v>
      </c>
      <c r="C44" s="469">
        <v>192.41</v>
      </c>
      <c r="D44" s="469">
        <v>168.17</v>
      </c>
      <c r="E44" s="469">
        <v>183.95</v>
      </c>
      <c r="F44" s="469">
        <v>289.42</v>
      </c>
      <c r="G44" s="469">
        <v>227.82</v>
      </c>
      <c r="H44" s="469">
        <v>313.91000000000003</v>
      </c>
      <c r="I44" s="469">
        <v>222.5</v>
      </c>
      <c r="J44" s="469">
        <v>248.5</v>
      </c>
      <c r="K44" s="469">
        <v>238.03</v>
      </c>
      <c r="L44" s="469">
        <v>265.97000000000003</v>
      </c>
      <c r="M44" s="469">
        <v>377.15</v>
      </c>
      <c r="N44" s="469">
        <v>295.73</v>
      </c>
      <c r="O44" s="469">
        <v>220.93</v>
      </c>
      <c r="P44" s="469">
        <v>300.35000000000002</v>
      </c>
      <c r="Q44" s="469">
        <v>267.62</v>
      </c>
      <c r="R44" s="469">
        <v>172.75</v>
      </c>
      <c r="S44" s="469">
        <v>278.08</v>
      </c>
      <c r="T44" s="469">
        <v>301.77</v>
      </c>
      <c r="U44" s="469">
        <f>166.56-9.84</f>
        <v>156.72</v>
      </c>
      <c r="V44" s="469">
        <f>394.88-2.43</f>
        <v>392.45</v>
      </c>
      <c r="W44" s="469">
        <v>307.33999999999997</v>
      </c>
      <c r="X44" s="469">
        <v>240.24</v>
      </c>
      <c r="Y44" s="469">
        <v>156.53</v>
      </c>
      <c r="Z44" s="469">
        <v>348.19</v>
      </c>
      <c r="AA44" s="469">
        <f>410.31-1.44</f>
        <v>408.87</v>
      </c>
      <c r="AB44" s="469">
        <f>166.95-1.98</f>
        <v>164.97</v>
      </c>
      <c r="AC44" s="481">
        <v>332.71</v>
      </c>
      <c r="AD44" s="481">
        <v>297.43</v>
      </c>
      <c r="AE44" s="481">
        <v>305.52</v>
      </c>
      <c r="AF44" s="481">
        <v>283.67</v>
      </c>
      <c r="AG44" s="282"/>
      <c r="AH44" s="115">
        <f t="shared" ref="AH44" si="11">SUM(C44:AG44)</f>
        <v>7959.6999999999989</v>
      </c>
      <c r="AI44" s="62"/>
      <c r="AJ44" s="212" t="s">
        <v>204</v>
      </c>
      <c r="AK44" s="213" t="s">
        <v>205</v>
      </c>
      <c r="AL44" s="272">
        <f>SUM(C44:AB44)</f>
        <v>6740.369999999999</v>
      </c>
      <c r="AM44" s="273">
        <f>SUM(AC44:AG44)</f>
        <v>1219.33</v>
      </c>
      <c r="AN44" s="275"/>
    </row>
    <row r="45" spans="1:40" s="102" customFormat="1" ht="16.5" thickBot="1" x14ac:dyDescent="0.3">
      <c r="A45" s="225"/>
      <c r="B45" s="226"/>
      <c r="C45" s="226"/>
      <c r="D45" s="226"/>
      <c r="E45" s="226"/>
      <c r="F45" s="226"/>
      <c r="G45" s="226"/>
      <c r="H45" s="226"/>
      <c r="I45" s="226"/>
      <c r="J45" s="226"/>
      <c r="K45" s="226"/>
      <c r="L45" s="226"/>
      <c r="M45" s="226"/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26"/>
      <c r="Y45" s="226"/>
      <c r="Z45" s="226"/>
      <c r="AA45" s="226"/>
      <c r="AB45" s="226"/>
      <c r="AC45" s="226"/>
      <c r="AD45" s="226"/>
      <c r="AE45" s="226"/>
      <c r="AF45" s="226"/>
      <c r="AG45" s="226"/>
      <c r="AH45" s="227"/>
      <c r="AI45" s="62"/>
      <c r="AJ45" s="225"/>
      <c r="AK45" s="226"/>
      <c r="AL45" s="99"/>
    </row>
    <row r="46" spans="1:40" x14ac:dyDescent="0.25">
      <c r="A46" s="126"/>
      <c r="B46" s="214" t="s">
        <v>57</v>
      </c>
      <c r="C46" s="84">
        <v>407</v>
      </c>
      <c r="D46" s="84">
        <f>436+22</f>
        <v>458</v>
      </c>
      <c r="E46" s="84">
        <f>455+23</f>
        <v>478</v>
      </c>
      <c r="F46" s="84">
        <f>654+59</f>
        <v>713</v>
      </c>
      <c r="G46" s="84">
        <v>525</v>
      </c>
      <c r="H46" s="84">
        <v>448</v>
      </c>
      <c r="I46" s="84">
        <v>398</v>
      </c>
      <c r="J46" s="84">
        <v>465</v>
      </c>
      <c r="K46" s="84">
        <v>530</v>
      </c>
      <c r="L46" s="84">
        <v>606</v>
      </c>
      <c r="M46" s="84">
        <v>921</v>
      </c>
      <c r="N46" s="84">
        <v>571</v>
      </c>
      <c r="O46" s="84">
        <v>492</v>
      </c>
      <c r="P46" s="84">
        <v>630</v>
      </c>
      <c r="Q46" s="84">
        <v>620</v>
      </c>
      <c r="R46" s="84">
        <v>482</v>
      </c>
      <c r="S46" s="84">
        <v>540</v>
      </c>
      <c r="T46" s="84">
        <v>763</v>
      </c>
      <c r="U46" s="84">
        <v>405</v>
      </c>
      <c r="V46" s="84">
        <v>715</v>
      </c>
      <c r="W46" s="84">
        <v>665</v>
      </c>
      <c r="X46" s="84">
        <f>539+10</f>
        <v>549</v>
      </c>
      <c r="Y46" s="84">
        <v>358</v>
      </c>
      <c r="Z46" s="84">
        <v>948</v>
      </c>
      <c r="AA46" s="84">
        <v>885</v>
      </c>
      <c r="AB46" s="84">
        <v>346</v>
      </c>
      <c r="AC46" s="84">
        <v>775</v>
      </c>
      <c r="AD46" s="84">
        <v>609</v>
      </c>
      <c r="AE46" s="84">
        <v>651</v>
      </c>
      <c r="AF46" s="84">
        <v>531</v>
      </c>
      <c r="AG46" s="84"/>
      <c r="AH46" s="103">
        <f>SUM(C46:AG46)</f>
        <v>17484</v>
      </c>
      <c r="AJ46" s="126">
        <f>AH46</f>
        <v>17484</v>
      </c>
      <c r="AK46" s="219" t="s">
        <v>57</v>
      </c>
      <c r="AL46" s="102"/>
      <c r="AM46" s="102"/>
      <c r="AN46" s="102"/>
    </row>
    <row r="47" spans="1:40" ht="16.5" thickBot="1" x14ac:dyDescent="0.3">
      <c r="A47" s="135"/>
      <c r="B47" s="215" t="s">
        <v>58</v>
      </c>
      <c r="C47" s="94">
        <v>57</v>
      </c>
      <c r="D47" s="94">
        <v>57</v>
      </c>
      <c r="E47" s="94">
        <v>72</v>
      </c>
      <c r="F47" s="94">
        <v>78</v>
      </c>
      <c r="G47" s="94">
        <v>78</v>
      </c>
      <c r="H47" s="94">
        <v>70</v>
      </c>
      <c r="I47" s="94">
        <v>86</v>
      </c>
      <c r="J47" s="94">
        <v>88</v>
      </c>
      <c r="K47" s="94">
        <v>110</v>
      </c>
      <c r="L47" s="94">
        <v>129</v>
      </c>
      <c r="M47" s="94">
        <v>93</v>
      </c>
      <c r="N47" s="94">
        <v>66</v>
      </c>
      <c r="O47" s="94">
        <v>83</v>
      </c>
      <c r="P47" s="94">
        <v>76</v>
      </c>
      <c r="Q47" s="94">
        <v>85</v>
      </c>
      <c r="R47" s="94">
        <v>103</v>
      </c>
      <c r="S47" s="94">
        <v>122</v>
      </c>
      <c r="T47" s="94">
        <v>92</v>
      </c>
      <c r="U47" s="94">
        <v>71</v>
      </c>
      <c r="V47" s="94">
        <v>113</v>
      </c>
      <c r="W47" s="94">
        <v>128</v>
      </c>
      <c r="X47" s="94">
        <v>83</v>
      </c>
      <c r="Y47" s="94">
        <v>68</v>
      </c>
      <c r="Z47" s="94">
        <v>91</v>
      </c>
      <c r="AA47" s="94">
        <v>129</v>
      </c>
      <c r="AB47" s="94">
        <v>71</v>
      </c>
      <c r="AC47" s="94">
        <v>101</v>
      </c>
      <c r="AD47" s="94">
        <v>81</v>
      </c>
      <c r="AE47" s="94">
        <v>119</v>
      </c>
      <c r="AF47" s="94">
        <v>72</v>
      </c>
      <c r="AG47" s="94"/>
      <c r="AH47" s="105">
        <f>SUM(C47:AG47)</f>
        <v>2672</v>
      </c>
      <c r="AJ47" s="135">
        <f>AH47</f>
        <v>2672</v>
      </c>
      <c r="AK47" s="220" t="s">
        <v>58</v>
      </c>
    </row>
    <row r="48" spans="1:40" ht="16.5" thickBot="1" x14ac:dyDescent="0.3">
      <c r="A48" s="224"/>
      <c r="B48" s="228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8"/>
      <c r="AJ48" s="224"/>
      <c r="AK48" s="228"/>
    </row>
    <row r="49" spans="1:37" ht="16.5" thickBot="1" x14ac:dyDescent="0.3">
      <c r="A49" s="212"/>
      <c r="B49" s="213" t="s">
        <v>107</v>
      </c>
      <c r="C49" s="213">
        <f>C46+C47</f>
        <v>464</v>
      </c>
      <c r="D49" s="213">
        <f t="shared" ref="D49:AG49" si="12">D46+D47</f>
        <v>515</v>
      </c>
      <c r="E49" s="213">
        <f t="shared" si="12"/>
        <v>550</v>
      </c>
      <c r="F49" s="213">
        <f t="shared" si="12"/>
        <v>791</v>
      </c>
      <c r="G49" s="213">
        <f t="shared" si="12"/>
        <v>603</v>
      </c>
      <c r="H49" s="213">
        <f t="shared" si="12"/>
        <v>518</v>
      </c>
      <c r="I49" s="213">
        <f t="shared" si="12"/>
        <v>484</v>
      </c>
      <c r="J49" s="213">
        <f t="shared" si="12"/>
        <v>553</v>
      </c>
      <c r="K49" s="213">
        <f t="shared" si="12"/>
        <v>640</v>
      </c>
      <c r="L49" s="213">
        <f t="shared" si="12"/>
        <v>735</v>
      </c>
      <c r="M49" s="213">
        <f t="shared" si="12"/>
        <v>1014</v>
      </c>
      <c r="N49" s="213">
        <f t="shared" si="12"/>
        <v>637</v>
      </c>
      <c r="O49" s="213">
        <f t="shared" si="12"/>
        <v>575</v>
      </c>
      <c r="P49" s="213">
        <f t="shared" si="12"/>
        <v>706</v>
      </c>
      <c r="Q49" s="213">
        <f t="shared" si="12"/>
        <v>705</v>
      </c>
      <c r="R49" s="213">
        <f t="shared" si="12"/>
        <v>585</v>
      </c>
      <c r="S49" s="213">
        <f t="shared" si="12"/>
        <v>662</v>
      </c>
      <c r="T49" s="213">
        <f t="shared" si="12"/>
        <v>855</v>
      </c>
      <c r="U49" s="213">
        <f t="shared" si="12"/>
        <v>476</v>
      </c>
      <c r="V49" s="213">
        <f t="shared" si="12"/>
        <v>828</v>
      </c>
      <c r="W49" s="213">
        <f t="shared" si="12"/>
        <v>793</v>
      </c>
      <c r="X49" s="213">
        <f t="shared" si="12"/>
        <v>632</v>
      </c>
      <c r="Y49" s="213">
        <f t="shared" si="12"/>
        <v>426</v>
      </c>
      <c r="Z49" s="213">
        <f t="shared" si="12"/>
        <v>1039</v>
      </c>
      <c r="AA49" s="213">
        <f t="shared" si="12"/>
        <v>1014</v>
      </c>
      <c r="AB49" s="213">
        <f t="shared" si="12"/>
        <v>417</v>
      </c>
      <c r="AC49" s="213">
        <f t="shared" si="12"/>
        <v>876</v>
      </c>
      <c r="AD49" s="213">
        <f t="shared" si="12"/>
        <v>690</v>
      </c>
      <c r="AE49" s="213">
        <f t="shared" si="12"/>
        <v>770</v>
      </c>
      <c r="AF49" s="213">
        <f t="shared" si="12"/>
        <v>603</v>
      </c>
      <c r="AG49" s="282">
        <f t="shared" si="12"/>
        <v>0</v>
      </c>
      <c r="AH49" s="281">
        <f>SUM(C49:AG49)</f>
        <v>20156</v>
      </c>
      <c r="AJ49" s="212">
        <f>AH49</f>
        <v>20156</v>
      </c>
      <c r="AK49" s="221" t="s">
        <v>107</v>
      </c>
    </row>
    <row r="50" spans="1:37" ht="16.5" thickBot="1" x14ac:dyDescent="0.3">
      <c r="A50" s="225"/>
      <c r="B50" s="226"/>
      <c r="C50" s="226"/>
      <c r="D50" s="226"/>
      <c r="E50" s="226"/>
      <c r="F50" s="226"/>
      <c r="G50" s="226"/>
      <c r="H50" s="226"/>
      <c r="I50" s="226"/>
      <c r="J50" s="226"/>
      <c r="K50" s="226"/>
      <c r="L50" s="226"/>
      <c r="M50" s="226"/>
      <c r="N50" s="226"/>
      <c r="O50" s="226"/>
      <c r="P50" s="226"/>
      <c r="Q50" s="226"/>
      <c r="R50" s="226"/>
      <c r="S50" s="226"/>
      <c r="T50" s="226"/>
      <c r="U50" s="226"/>
      <c r="V50" s="226"/>
      <c r="W50" s="226"/>
      <c r="X50" s="226"/>
      <c r="Y50" s="226"/>
      <c r="Z50" s="226"/>
      <c r="AA50" s="226"/>
      <c r="AB50" s="226"/>
      <c r="AC50" s="226"/>
      <c r="AD50" s="226"/>
      <c r="AE50" s="226"/>
      <c r="AF50" s="226"/>
      <c r="AG50" s="226"/>
      <c r="AH50" s="227"/>
      <c r="AJ50" s="226"/>
      <c r="AK50" s="226"/>
    </row>
    <row r="51" spans="1:37" ht="16.5" thickBot="1" x14ac:dyDescent="0.3">
      <c r="A51" s="212"/>
      <c r="B51" s="213" t="s">
        <v>106</v>
      </c>
      <c r="C51" s="216">
        <f>IF(C49&lt;=1,0,IF(C49&gt;=0,(SUM(C4+C7)/C49)))</f>
        <v>12.213793103448275</v>
      </c>
      <c r="D51" s="216">
        <f t="shared" ref="D51:AF51" si="13">IF(D49&lt;=1,0,IF(D49&gt;=0,(SUM(D4+D7)/D49)))</f>
        <v>10.777475728155339</v>
      </c>
      <c r="E51" s="216">
        <f t="shared" si="13"/>
        <v>11.871272727272727</v>
      </c>
      <c r="F51" s="216">
        <f t="shared" si="13"/>
        <v>11.897597977243995</v>
      </c>
      <c r="G51" s="216">
        <f t="shared" si="13"/>
        <v>11.903150912106137</v>
      </c>
      <c r="H51" s="216">
        <f t="shared" si="13"/>
        <v>11.861776061776061</v>
      </c>
      <c r="I51" s="216">
        <f t="shared" si="13"/>
        <v>11.398347107438017</v>
      </c>
      <c r="J51" s="216">
        <f t="shared" si="13"/>
        <v>11.262206148282097</v>
      </c>
      <c r="K51" s="216">
        <f t="shared" si="13"/>
        <v>9.114374999999999</v>
      </c>
      <c r="L51" s="216">
        <f t="shared" si="13"/>
        <v>10.001632653061224</v>
      </c>
      <c r="M51" s="216">
        <f t="shared" si="13"/>
        <v>11.624260355029586</v>
      </c>
      <c r="N51" s="216">
        <f t="shared" si="13"/>
        <v>12.769858712715855</v>
      </c>
      <c r="O51" s="216">
        <f t="shared" si="13"/>
        <v>9.8177391304347825</v>
      </c>
      <c r="P51" s="216">
        <f t="shared" si="13"/>
        <v>11.828328611898016</v>
      </c>
      <c r="Q51" s="216">
        <f t="shared" si="13"/>
        <v>11.967092198581559</v>
      </c>
      <c r="R51" s="216">
        <f t="shared" si="13"/>
        <v>9.0126495726495719</v>
      </c>
      <c r="S51" s="216">
        <f t="shared" si="13"/>
        <v>10.422960725075528</v>
      </c>
      <c r="T51" s="216">
        <f t="shared" si="13"/>
        <v>11.727017543859649</v>
      </c>
      <c r="U51" s="216">
        <f t="shared" si="13"/>
        <v>7.4655462184873951</v>
      </c>
      <c r="V51" s="216">
        <f t="shared" si="13"/>
        <v>12.018840579710146</v>
      </c>
      <c r="W51" s="216">
        <f t="shared" si="13"/>
        <v>10.947288776796974</v>
      </c>
      <c r="X51" s="216">
        <f t="shared" si="13"/>
        <v>10.678481012658228</v>
      </c>
      <c r="Y51" s="216">
        <f t="shared" si="13"/>
        <v>10.495774647887323</v>
      </c>
      <c r="Z51" s="216">
        <f t="shared" si="13"/>
        <v>9.7012512030798845</v>
      </c>
      <c r="AA51" s="216">
        <f t="shared" si="13"/>
        <v>12.068639053254438</v>
      </c>
      <c r="AB51" s="216">
        <f t="shared" si="13"/>
        <v>11.056115107913667</v>
      </c>
      <c r="AC51" s="216">
        <f t="shared" si="13"/>
        <v>11.069406392694063</v>
      </c>
      <c r="AD51" s="216">
        <f t="shared" si="13"/>
        <v>12.426666666666666</v>
      </c>
      <c r="AE51" s="216">
        <f t="shared" si="13"/>
        <v>11.350129870129871</v>
      </c>
      <c r="AF51" s="216">
        <f t="shared" si="13"/>
        <v>11.274295190713101</v>
      </c>
      <c r="AG51" s="216">
        <f>IF(AG49&lt;=1,0,IF(AG49&gt;=0,(SUM(AG4+AG7+(#REF!*0.5))/AG49)))</f>
        <v>0</v>
      </c>
      <c r="AH51" s="479">
        <f>IFERROR(AVERAGEIF(C51:AG51, "&lt;&gt;0"),)</f>
        <v>11.067465632967338</v>
      </c>
      <c r="AJ51" s="222">
        <f>AH51</f>
        <v>11.067465632967338</v>
      </c>
      <c r="AK51" s="223" t="s">
        <v>108</v>
      </c>
    </row>
    <row r="52" spans="1:37" ht="16.5" thickBot="1" x14ac:dyDescent="0.3"/>
    <row r="53" spans="1:37" ht="16.5" thickBot="1" x14ac:dyDescent="0.3">
      <c r="A53" s="212"/>
      <c r="B53" s="213" t="s">
        <v>120</v>
      </c>
      <c r="C53" s="243">
        <f>IF(C46&lt;=1,0,IF(C46&gt;=0,(SUM(C4+C7)/C46)))</f>
        <v>13.924324324324324</v>
      </c>
      <c r="D53" s="243">
        <f t="shared" ref="D53:AF53" si="14">IF(D46&lt;=1,0,IF(D46&gt;=0,(SUM(D4+D7)/D46)))</f>
        <v>12.118777292576418</v>
      </c>
      <c r="E53" s="243">
        <f t="shared" si="14"/>
        <v>13.659414225941422</v>
      </c>
      <c r="F53" s="243">
        <f t="shared" si="14"/>
        <v>13.199158485273493</v>
      </c>
      <c r="G53" s="243">
        <f t="shared" si="14"/>
        <v>13.671619047619048</v>
      </c>
      <c r="H53" s="243">
        <f t="shared" si="14"/>
        <v>13.71517857142857</v>
      </c>
      <c r="I53" s="243">
        <f t="shared" si="14"/>
        <v>13.861306532663317</v>
      </c>
      <c r="J53" s="243">
        <f t="shared" si="14"/>
        <v>13.393548387096773</v>
      </c>
      <c r="K53" s="243">
        <f t="shared" si="14"/>
        <v>11.006037735849056</v>
      </c>
      <c r="L53" s="243">
        <f t="shared" si="14"/>
        <v>12.130693069306931</v>
      </c>
      <c r="M53" s="243">
        <f t="shared" si="14"/>
        <v>12.798045602605864</v>
      </c>
      <c r="N53" s="243">
        <f t="shared" si="14"/>
        <v>14.245884413309982</v>
      </c>
      <c r="O53" s="243">
        <f t="shared" si="14"/>
        <v>11.473983739837397</v>
      </c>
      <c r="P53" s="243">
        <f t="shared" si="14"/>
        <v>13.255238095238093</v>
      </c>
      <c r="Q53" s="243">
        <f t="shared" si="14"/>
        <v>13.607741935483871</v>
      </c>
      <c r="R53" s="243">
        <f t="shared" si="14"/>
        <v>10.938589211618256</v>
      </c>
      <c r="S53" s="243">
        <f t="shared" si="14"/>
        <v>12.777777777777779</v>
      </c>
      <c r="T53" s="243">
        <f t="shared" si="14"/>
        <v>13.141022280471823</v>
      </c>
      <c r="U53" s="243">
        <f t="shared" si="14"/>
        <v>8.7743209876543204</v>
      </c>
      <c r="V53" s="243">
        <f t="shared" si="14"/>
        <v>13.918321678321679</v>
      </c>
      <c r="W53" s="243">
        <f t="shared" si="14"/>
        <v>13.054436090225565</v>
      </c>
      <c r="X53" s="243">
        <f t="shared" si="14"/>
        <v>12.292896174863388</v>
      </c>
      <c r="Y53" s="243">
        <f t="shared" si="14"/>
        <v>12.489385474860335</v>
      </c>
      <c r="Z53" s="243">
        <f t="shared" si="14"/>
        <v>10.632489451476793</v>
      </c>
      <c r="AA53" s="243">
        <f t="shared" si="14"/>
        <v>13.827796610169491</v>
      </c>
      <c r="AB53" s="243">
        <f t="shared" si="14"/>
        <v>13.324855491329478</v>
      </c>
      <c r="AC53" s="243">
        <f t="shared" si="14"/>
        <v>12.511999999999999</v>
      </c>
      <c r="AD53" s="243">
        <f t="shared" si="14"/>
        <v>14.079474548440064</v>
      </c>
      <c r="AE53" s="243">
        <f t="shared" si="14"/>
        <v>13.424884792626729</v>
      </c>
      <c r="AF53" s="243">
        <f t="shared" si="14"/>
        <v>12.803013182674199</v>
      </c>
      <c r="AG53" s="243">
        <f>IF(AG46&lt;=1,0,IF(AG46&gt;=0,(SUM(AG4+AG7+(#REF!*0.5))/AG46)))</f>
        <v>0</v>
      </c>
      <c r="AH53" s="280">
        <f>IFERROR(AVERAGEIF(C53:AG53, "&lt;&gt;0"),)</f>
        <v>12.801740507035483</v>
      </c>
      <c r="AI53" s="244"/>
      <c r="AJ53" s="245">
        <f>AH53</f>
        <v>12.801740507035483</v>
      </c>
      <c r="AK53" s="223" t="s">
        <v>121</v>
      </c>
    </row>
    <row r="54" spans="1:37" ht="16.5" thickBot="1" x14ac:dyDescent="0.3"/>
    <row r="55" spans="1:37" ht="16.5" thickBot="1" x14ac:dyDescent="0.3">
      <c r="A55" s="296"/>
      <c r="B55" s="297" t="s">
        <v>133</v>
      </c>
      <c r="C55" s="298"/>
      <c r="D55" s="298"/>
      <c r="E55" s="298"/>
      <c r="F55" s="298"/>
      <c r="G55" s="298"/>
      <c r="H55" s="298"/>
      <c r="I55" s="298"/>
      <c r="J55" s="298"/>
      <c r="K55" s="298"/>
      <c r="L55" s="298"/>
      <c r="M55" s="298"/>
      <c r="N55" s="298"/>
      <c r="O55" s="298"/>
      <c r="P55" s="298"/>
      <c r="Q55" s="298"/>
      <c r="R55" s="298"/>
      <c r="S55" s="298"/>
      <c r="T55" s="298"/>
      <c r="U55" s="298"/>
      <c r="V55" s="298"/>
      <c r="W55" s="298"/>
      <c r="X55" s="298"/>
      <c r="Y55" s="298"/>
      <c r="Z55" s="298"/>
      <c r="AA55" s="298"/>
      <c r="AB55" s="298"/>
      <c r="AC55" s="298"/>
      <c r="AD55" s="298"/>
      <c r="AE55" s="298"/>
      <c r="AF55" s="298"/>
      <c r="AG55" s="298"/>
      <c r="AH55" s="299" t="s">
        <v>134</v>
      </c>
      <c r="AJ55" s="300" t="s">
        <v>134</v>
      </c>
      <c r="AK55" s="301" t="s">
        <v>131</v>
      </c>
    </row>
    <row r="56" spans="1:37" x14ac:dyDescent="0.25">
      <c r="A56" s="90"/>
      <c r="B56" s="302" t="s">
        <v>135</v>
      </c>
      <c r="C56" s="91">
        <v>98</v>
      </c>
      <c r="D56" s="91">
        <v>98</v>
      </c>
      <c r="E56" s="91">
        <v>98</v>
      </c>
      <c r="F56" s="91">
        <v>99</v>
      </c>
      <c r="G56" s="91">
        <v>98</v>
      </c>
      <c r="H56" s="91">
        <v>99</v>
      </c>
      <c r="I56" s="91">
        <v>106</v>
      </c>
      <c r="J56" s="91">
        <v>97</v>
      </c>
      <c r="K56" s="91">
        <v>98</v>
      </c>
      <c r="L56" s="91">
        <v>98</v>
      </c>
      <c r="M56" s="91">
        <v>98</v>
      </c>
      <c r="N56" s="91">
        <v>99</v>
      </c>
      <c r="O56" s="91">
        <v>98</v>
      </c>
      <c r="P56" s="91">
        <v>103</v>
      </c>
      <c r="Q56" s="91">
        <v>98</v>
      </c>
      <c r="R56" s="91">
        <v>98</v>
      </c>
      <c r="S56" s="91">
        <v>95</v>
      </c>
      <c r="T56" s="91">
        <v>96</v>
      </c>
      <c r="U56" s="91">
        <v>96</v>
      </c>
      <c r="V56" s="91">
        <v>90</v>
      </c>
      <c r="W56" s="91">
        <v>103</v>
      </c>
      <c r="X56" s="91">
        <v>98</v>
      </c>
      <c r="Y56" s="91"/>
      <c r="Z56" s="91">
        <v>98</v>
      </c>
      <c r="AA56" s="91">
        <v>99</v>
      </c>
      <c r="AB56" s="91">
        <v>98</v>
      </c>
      <c r="AC56" s="91">
        <v>99</v>
      </c>
      <c r="AD56" s="91">
        <v>97</v>
      </c>
      <c r="AE56" s="91">
        <v>99</v>
      </c>
      <c r="AF56" s="91">
        <v>99</v>
      </c>
      <c r="AG56" s="91"/>
      <c r="AH56" s="303">
        <f>IFERROR(AVERAGEIF(C56:AG56,"&lt;&gt;0"),)</f>
        <v>98.275862068965523</v>
      </c>
      <c r="AJ56" s="304">
        <f>AH56</f>
        <v>98.275862068965523</v>
      </c>
      <c r="AK56" s="305" t="s">
        <v>136</v>
      </c>
    </row>
    <row r="57" spans="1:37" x14ac:dyDescent="0.25">
      <c r="A57" s="90"/>
      <c r="B57" s="302" t="s">
        <v>158</v>
      </c>
      <c r="C57" s="91">
        <v>90</v>
      </c>
      <c r="D57" s="91">
        <v>87</v>
      </c>
      <c r="E57" s="91">
        <v>88</v>
      </c>
      <c r="F57" s="91">
        <v>97</v>
      </c>
      <c r="G57" s="91">
        <v>90</v>
      </c>
      <c r="H57" s="91">
        <v>86</v>
      </c>
      <c r="I57" s="91">
        <v>91</v>
      </c>
      <c r="J57" s="91">
        <v>81</v>
      </c>
      <c r="K57" s="91">
        <v>90</v>
      </c>
      <c r="L57" s="91">
        <v>91</v>
      </c>
      <c r="M57" s="91">
        <v>90</v>
      </c>
      <c r="N57" s="91">
        <v>91</v>
      </c>
      <c r="O57" s="91">
        <v>88</v>
      </c>
      <c r="P57" s="91">
        <v>89</v>
      </c>
      <c r="Q57" s="91">
        <v>82</v>
      </c>
      <c r="R57" s="91">
        <v>90</v>
      </c>
      <c r="S57" s="91">
        <v>84</v>
      </c>
      <c r="T57" s="91">
        <v>84</v>
      </c>
      <c r="U57" s="91">
        <v>84</v>
      </c>
      <c r="V57" s="91">
        <v>80</v>
      </c>
      <c r="W57" s="91">
        <v>90</v>
      </c>
      <c r="X57" s="91">
        <v>85</v>
      </c>
      <c r="Y57" s="91"/>
      <c r="Z57" s="91">
        <v>87</v>
      </c>
      <c r="AA57" s="91">
        <v>89</v>
      </c>
      <c r="AB57" s="91">
        <v>89</v>
      </c>
      <c r="AC57" s="91">
        <v>90</v>
      </c>
      <c r="AD57" s="91">
        <v>86</v>
      </c>
      <c r="AE57" s="91">
        <v>82</v>
      </c>
      <c r="AF57" s="91">
        <v>93</v>
      </c>
      <c r="AG57" s="91"/>
      <c r="AH57" s="303">
        <f t="shared" ref="AH57:AH59" si="15">IFERROR(AVERAGEIF(C57:AG57,"&lt;&gt;0"),)</f>
        <v>87.724137931034477</v>
      </c>
      <c r="AJ57" s="306">
        <f>AH57</f>
        <v>87.724137931034477</v>
      </c>
      <c r="AK57" s="307" t="s">
        <v>137</v>
      </c>
    </row>
    <row r="58" spans="1:37" x14ac:dyDescent="0.25">
      <c r="A58" s="90"/>
      <c r="B58" s="302" t="s">
        <v>138</v>
      </c>
      <c r="C58" s="302">
        <v>76</v>
      </c>
      <c r="D58" s="302">
        <v>83</v>
      </c>
      <c r="E58" s="302">
        <v>84</v>
      </c>
      <c r="F58" s="302">
        <v>83</v>
      </c>
      <c r="G58" s="302">
        <v>84</v>
      </c>
      <c r="H58" s="302">
        <v>84</v>
      </c>
      <c r="I58" s="302">
        <v>84</v>
      </c>
      <c r="J58" s="302">
        <v>83</v>
      </c>
      <c r="K58" s="302">
        <v>83</v>
      </c>
      <c r="L58" s="302">
        <v>83</v>
      </c>
      <c r="M58" s="302">
        <v>84</v>
      </c>
      <c r="N58" s="302">
        <v>82</v>
      </c>
      <c r="O58" s="302">
        <v>83</v>
      </c>
      <c r="P58" s="302">
        <v>80</v>
      </c>
      <c r="Q58" s="302">
        <v>78</v>
      </c>
      <c r="R58" s="302">
        <v>83</v>
      </c>
      <c r="S58" s="302">
        <v>81</v>
      </c>
      <c r="T58" s="302">
        <v>79</v>
      </c>
      <c r="U58" s="302">
        <v>76</v>
      </c>
      <c r="V58" s="302">
        <v>74</v>
      </c>
      <c r="W58" s="302">
        <v>76</v>
      </c>
      <c r="X58" s="302">
        <v>77</v>
      </c>
      <c r="Y58" s="302"/>
      <c r="Z58" s="302">
        <v>77</v>
      </c>
      <c r="AA58" s="302">
        <v>78</v>
      </c>
      <c r="AB58" s="302">
        <v>79</v>
      </c>
      <c r="AC58" s="302">
        <v>78</v>
      </c>
      <c r="AD58" s="302">
        <v>78</v>
      </c>
      <c r="AE58" s="302">
        <v>77</v>
      </c>
      <c r="AF58" s="302">
        <v>78</v>
      </c>
      <c r="AG58" s="302"/>
      <c r="AH58" s="303">
        <f t="shared" si="15"/>
        <v>80.172413793103445</v>
      </c>
      <c r="AJ58" s="306">
        <f>AH58</f>
        <v>80.172413793103445</v>
      </c>
      <c r="AK58" s="307" t="s">
        <v>139</v>
      </c>
    </row>
    <row r="59" spans="1:37" ht="16.5" thickBot="1" x14ac:dyDescent="0.3">
      <c r="A59" s="81"/>
      <c r="B59" s="308" t="s">
        <v>140</v>
      </c>
      <c r="C59" s="309"/>
      <c r="D59" s="309"/>
      <c r="E59" s="309"/>
      <c r="F59" s="309"/>
      <c r="G59" s="309"/>
      <c r="H59" s="309"/>
      <c r="I59" s="309"/>
      <c r="J59" s="309"/>
      <c r="K59" s="309"/>
      <c r="L59" s="309"/>
      <c r="M59" s="309"/>
      <c r="N59" s="309"/>
      <c r="O59" s="309"/>
      <c r="P59" s="309"/>
      <c r="Q59" s="309"/>
      <c r="R59" s="309"/>
      <c r="S59" s="309"/>
      <c r="T59" s="309"/>
      <c r="U59" s="309"/>
      <c r="V59" s="309"/>
      <c r="W59" s="309"/>
      <c r="X59" s="309"/>
      <c r="Y59" s="309"/>
      <c r="Z59" s="309"/>
      <c r="AA59" s="309"/>
      <c r="AB59" s="309"/>
      <c r="AC59" s="309"/>
      <c r="AD59" s="309"/>
      <c r="AE59" s="309"/>
      <c r="AF59" s="309"/>
      <c r="AG59" s="309"/>
      <c r="AH59" s="310">
        <f t="shared" si="15"/>
        <v>0</v>
      </c>
      <c r="AJ59" s="311">
        <f>AH59</f>
        <v>0</v>
      </c>
      <c r="AK59" s="82" t="s">
        <v>141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8:AK38"/>
    <mergeCell ref="AL38:AM38"/>
    <mergeCell ref="AJ30:AM30"/>
  </mergeCells>
  <conditionalFormatting sqref="C42:AG42">
    <cfRule type="cellIs" dxfId="9" priority="12" operator="notEqual">
      <formula>0</formula>
    </cfRule>
  </conditionalFormatting>
  <conditionalFormatting sqref="C42:AG42">
    <cfRule type="cellIs" dxfId="8" priority="11" operator="notEqual">
      <formula>0</formula>
    </cfRule>
  </conditionalFormatting>
  <conditionalFormatting sqref="C30:AH30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C40:AG40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AN38">
    <cfRule type="cellIs" dxfId="3" priority="3" operator="lessThan">
      <formula>0</formula>
    </cfRule>
    <cfRule type="cellIs" dxfId="2" priority="4" operator="greaterThan">
      <formula>0</formula>
    </cfRule>
  </conditionalFormatting>
  <pageMargins left="0" right="0" top="0.75" bottom="0.75" header="0.3" footer="0.3"/>
  <pageSetup paperSize="17" scale="59" orientation="landscape" verticalDpi="300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sqref="A1:B1"/>
    </sheetView>
  </sheetViews>
  <sheetFormatPr defaultColWidth="9.140625"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503"/>
      <c r="B1" s="504"/>
      <c r="C1" s="317" t="s">
        <v>144</v>
      </c>
      <c r="D1" s="318" t="s">
        <v>63</v>
      </c>
      <c r="E1" s="318" t="s">
        <v>35</v>
      </c>
      <c r="F1" s="318" t="s">
        <v>145</v>
      </c>
      <c r="G1" s="318" t="s">
        <v>112</v>
      </c>
      <c r="H1" s="318" t="s">
        <v>78</v>
      </c>
      <c r="I1" s="318" t="s">
        <v>41</v>
      </c>
      <c r="J1" s="319"/>
      <c r="K1" s="320" t="s">
        <v>135</v>
      </c>
      <c r="L1" s="320" t="s">
        <v>146</v>
      </c>
      <c r="M1" s="320" t="s">
        <v>138</v>
      </c>
      <c r="N1" s="319"/>
      <c r="O1" s="320" t="s">
        <v>147</v>
      </c>
    </row>
    <row r="2" spans="1:15" x14ac:dyDescent="0.25">
      <c r="A2" s="321">
        <f>'Cash Flow'!A8</f>
        <v>44713</v>
      </c>
      <c r="B2" s="356" t="str">
        <f>TEXT(A2,"ddd")</f>
        <v>Wed</v>
      </c>
      <c r="C2" s="322" t="e">
        <f t="array" ref="C2:C32">TRANSPOSE(Pool!C4:AG4)+TRANSPOSE(Pool!#REF!*0.5)</f>
        <v>#REF!</v>
      </c>
      <c r="D2" s="322">
        <f t="array" ref="D2:D32">TRANSPOSE(Pool!C6:AG6)</f>
        <v>234.6</v>
      </c>
      <c r="E2" s="322">
        <f t="array" ref="E2:E32">TRANSPOSE(Pool!C14:AG14)</f>
        <v>16</v>
      </c>
      <c r="F2" s="322">
        <f t="array" ref="F2:F32">TRANSPOSE(Pool!C15:AG15)</f>
        <v>443.9</v>
      </c>
      <c r="G2" s="322">
        <f t="array" ref="G2:G32">TRANSPOSE(Pool!C16:AG16)</f>
        <v>0</v>
      </c>
      <c r="H2" s="322" t="e">
        <f t="array" ref="H2:H32">TRANSPOSE(Pool!C17:AG17)+TRANSPOSE(Pool!#REF!*0.5)</f>
        <v>#REF!</v>
      </c>
      <c r="I2" s="325">
        <f t="array" ref="I2:I32">TRANSPOSE(Pool!C20:AG20)</f>
        <v>0</v>
      </c>
      <c r="J2" s="328"/>
      <c r="K2" s="329">
        <f t="array" ref="K2:K32">TRANSPOSE(Pool!C56:AG56)</f>
        <v>98</v>
      </c>
      <c r="L2" s="332">
        <f t="array" ref="L2:L32">TRANSPOSE(Pool!C57:AG57)</f>
        <v>90</v>
      </c>
      <c r="M2" s="335">
        <f t="array" ref="M2:M32">TRANSPOSE(Pool!C58:AG58)</f>
        <v>76</v>
      </c>
      <c r="N2" s="328"/>
      <c r="O2" s="339">
        <f t="array" ref="O2:O32">TRANSPOSE(Pool!C49:AG49)</f>
        <v>464</v>
      </c>
    </row>
    <row r="3" spans="1:15" x14ac:dyDescent="0.25">
      <c r="A3" s="342">
        <f t="shared" ref="A3:A32" si="0">SUM(A2+1)</f>
        <v>44714</v>
      </c>
      <c r="B3" s="357" t="str">
        <f>TEXT(A3,"ddd")</f>
        <v>Thu</v>
      </c>
      <c r="C3" s="323" t="e">
        <v>#REF!</v>
      </c>
      <c r="D3" s="323">
        <v>227.4</v>
      </c>
      <c r="E3" s="323">
        <v>24</v>
      </c>
      <c r="F3" s="323">
        <v>485.61</v>
      </c>
      <c r="G3" s="323">
        <v>0</v>
      </c>
      <c r="H3" s="323" t="e">
        <v>#REF!</v>
      </c>
      <c r="I3" s="326">
        <v>0</v>
      </c>
      <c r="J3" s="328"/>
      <c r="K3" s="330">
        <v>98</v>
      </c>
      <c r="L3" s="333">
        <v>87</v>
      </c>
      <c r="M3" s="336">
        <v>83</v>
      </c>
      <c r="N3" s="328"/>
      <c r="O3" s="340">
        <v>515</v>
      </c>
    </row>
    <row r="4" spans="1:15" x14ac:dyDescent="0.25">
      <c r="A4" s="342">
        <f t="shared" si="0"/>
        <v>44715</v>
      </c>
      <c r="B4" s="357" t="str">
        <f>TEXT(A4,"DDD")</f>
        <v>Fri</v>
      </c>
      <c r="C4" s="323" t="e">
        <v>#REF!</v>
      </c>
      <c r="D4" s="323">
        <v>204.6</v>
      </c>
      <c r="E4" s="323">
        <v>16</v>
      </c>
      <c r="F4" s="323">
        <v>466.31</v>
      </c>
      <c r="G4" s="323">
        <v>0</v>
      </c>
      <c r="H4" s="323" t="e">
        <v>#REF!</v>
      </c>
      <c r="I4" s="326">
        <v>0</v>
      </c>
      <c r="J4" s="328"/>
      <c r="K4" s="330">
        <v>98</v>
      </c>
      <c r="L4" s="333">
        <v>88</v>
      </c>
      <c r="M4" s="336">
        <v>84</v>
      </c>
      <c r="N4" s="328"/>
      <c r="O4" s="340">
        <v>550</v>
      </c>
    </row>
    <row r="5" spans="1:15" x14ac:dyDescent="0.25">
      <c r="A5" s="342">
        <f t="shared" si="0"/>
        <v>44716</v>
      </c>
      <c r="B5" s="357" t="str">
        <f>TEXT(A5,"ddd")</f>
        <v>Sat</v>
      </c>
      <c r="C5" s="323" t="e">
        <v>#REF!</v>
      </c>
      <c r="D5" s="323">
        <v>470.4</v>
      </c>
      <c r="E5" s="323">
        <v>108</v>
      </c>
      <c r="F5" s="323">
        <v>1017.49</v>
      </c>
      <c r="G5" s="323">
        <v>0</v>
      </c>
      <c r="H5" s="323" t="e">
        <v>#REF!</v>
      </c>
      <c r="I5" s="326">
        <v>0</v>
      </c>
      <c r="J5" s="328"/>
      <c r="K5" s="330">
        <v>99</v>
      </c>
      <c r="L5" s="333">
        <v>97</v>
      </c>
      <c r="M5" s="336">
        <v>83</v>
      </c>
      <c r="N5" s="328"/>
      <c r="O5" s="340">
        <v>791</v>
      </c>
    </row>
    <row r="6" spans="1:15" x14ac:dyDescent="0.25">
      <c r="A6" s="342">
        <f t="shared" si="0"/>
        <v>44717</v>
      </c>
      <c r="B6" s="357" t="str">
        <f>TEXT(A6,"DDD")</f>
        <v>Sun</v>
      </c>
      <c r="C6" s="323" t="e">
        <v>#REF!</v>
      </c>
      <c r="D6" s="323">
        <v>353.4</v>
      </c>
      <c r="E6" s="323">
        <v>32</v>
      </c>
      <c r="F6" s="323">
        <v>398.71</v>
      </c>
      <c r="G6" s="323">
        <v>0</v>
      </c>
      <c r="H6" s="323" t="e">
        <v>#REF!</v>
      </c>
      <c r="I6" s="326">
        <v>0</v>
      </c>
      <c r="J6" s="328"/>
      <c r="K6" s="330">
        <v>98</v>
      </c>
      <c r="L6" s="333">
        <v>90</v>
      </c>
      <c r="M6" s="336">
        <v>84</v>
      </c>
      <c r="N6" s="328"/>
      <c r="O6" s="340">
        <v>603</v>
      </c>
    </row>
    <row r="7" spans="1:15" x14ac:dyDescent="0.25">
      <c r="A7" s="342">
        <f t="shared" si="0"/>
        <v>44718</v>
      </c>
      <c r="B7" s="357" t="str">
        <f>TEXT(A7,"ddd")</f>
        <v>Mon</v>
      </c>
      <c r="C7" s="323" t="e">
        <v>#REF!</v>
      </c>
      <c r="D7" s="323">
        <v>395.4</v>
      </c>
      <c r="E7" s="323">
        <v>42.4</v>
      </c>
      <c r="F7" s="323">
        <v>613.70000000000005</v>
      </c>
      <c r="G7" s="323">
        <v>0</v>
      </c>
      <c r="H7" s="323" t="e">
        <v>#REF!</v>
      </c>
      <c r="I7" s="326">
        <v>0</v>
      </c>
      <c r="J7" s="328"/>
      <c r="K7" s="330">
        <v>99</v>
      </c>
      <c r="L7" s="333">
        <v>86</v>
      </c>
      <c r="M7" s="336">
        <v>84</v>
      </c>
      <c r="N7" s="328"/>
      <c r="O7" s="340">
        <v>518</v>
      </c>
    </row>
    <row r="8" spans="1:15" x14ac:dyDescent="0.25">
      <c r="A8" s="342">
        <f t="shared" si="0"/>
        <v>44719</v>
      </c>
      <c r="B8" s="357" t="str">
        <f>TEXT(A8,"DDD")</f>
        <v>Tue</v>
      </c>
      <c r="C8" s="323" t="e">
        <v>#REF!</v>
      </c>
      <c r="D8" s="323">
        <v>292.2</v>
      </c>
      <c r="E8" s="323">
        <v>40</v>
      </c>
      <c r="F8" s="323">
        <v>467.43</v>
      </c>
      <c r="G8" s="323">
        <v>0</v>
      </c>
      <c r="H8" s="323" t="e">
        <v>#REF!</v>
      </c>
      <c r="I8" s="326">
        <v>0</v>
      </c>
      <c r="J8" s="328"/>
      <c r="K8" s="330">
        <v>106</v>
      </c>
      <c r="L8" s="333">
        <v>91</v>
      </c>
      <c r="M8" s="336">
        <v>84</v>
      </c>
      <c r="N8" s="328"/>
      <c r="O8" s="340">
        <v>484</v>
      </c>
    </row>
    <row r="9" spans="1:15" x14ac:dyDescent="0.25">
      <c r="A9" s="342">
        <f t="shared" si="0"/>
        <v>44720</v>
      </c>
      <c r="B9" s="357" t="str">
        <f>TEXT(A9,"ddd")</f>
        <v>Wed</v>
      </c>
      <c r="C9" s="323" t="e">
        <v>#REF!</v>
      </c>
      <c r="D9" s="323">
        <v>351.6</v>
      </c>
      <c r="E9" s="323">
        <v>96</v>
      </c>
      <c r="F9" s="323">
        <v>646.27</v>
      </c>
      <c r="G9" s="323">
        <v>0</v>
      </c>
      <c r="H9" s="323" t="e">
        <v>#REF!</v>
      </c>
      <c r="I9" s="326">
        <v>0</v>
      </c>
      <c r="J9" s="328"/>
      <c r="K9" s="330">
        <v>97</v>
      </c>
      <c r="L9" s="333">
        <v>81</v>
      </c>
      <c r="M9" s="337">
        <v>83</v>
      </c>
      <c r="N9" s="328"/>
      <c r="O9" s="340">
        <v>553</v>
      </c>
    </row>
    <row r="10" spans="1:15" x14ac:dyDescent="0.25">
      <c r="A10" s="342">
        <f t="shared" si="0"/>
        <v>44721</v>
      </c>
      <c r="B10" s="357" t="str">
        <f>TEXT(A10,"DDD")</f>
        <v>Thu</v>
      </c>
      <c r="C10" s="323" t="e">
        <v>#REF!</v>
      </c>
      <c r="D10" s="323">
        <v>369</v>
      </c>
      <c r="E10" s="323">
        <v>102</v>
      </c>
      <c r="F10" s="323">
        <v>609.55999999999995</v>
      </c>
      <c r="G10" s="323">
        <v>0</v>
      </c>
      <c r="H10" s="323" t="e">
        <v>#REF!</v>
      </c>
      <c r="I10" s="326">
        <v>0</v>
      </c>
      <c r="J10" s="328"/>
      <c r="K10" s="330">
        <v>98</v>
      </c>
      <c r="L10" s="333">
        <v>90</v>
      </c>
      <c r="M10" s="336">
        <v>83</v>
      </c>
      <c r="N10" s="328"/>
      <c r="O10" s="340">
        <v>640</v>
      </c>
    </row>
    <row r="11" spans="1:15" x14ac:dyDescent="0.25">
      <c r="A11" s="342">
        <f t="shared" si="0"/>
        <v>44722</v>
      </c>
      <c r="B11" s="357" t="str">
        <f>TEXT(A11,"ddd")</f>
        <v>Fri</v>
      </c>
      <c r="C11" s="323" t="e">
        <v>#REF!</v>
      </c>
      <c r="D11" s="323">
        <v>430.8</v>
      </c>
      <c r="E11" s="323">
        <v>16</v>
      </c>
      <c r="F11" s="323">
        <v>764.55</v>
      </c>
      <c r="G11" s="323">
        <v>0</v>
      </c>
      <c r="H11" s="323" t="e">
        <v>#REF!</v>
      </c>
      <c r="I11" s="326">
        <v>0</v>
      </c>
      <c r="J11" s="328"/>
      <c r="K11" s="330">
        <v>98</v>
      </c>
      <c r="L11" s="333">
        <v>91</v>
      </c>
      <c r="M11" s="336">
        <v>83</v>
      </c>
      <c r="N11" s="328"/>
      <c r="O11" s="340">
        <v>735</v>
      </c>
    </row>
    <row r="12" spans="1:15" x14ac:dyDescent="0.25">
      <c r="A12" s="342">
        <f t="shared" si="0"/>
        <v>44723</v>
      </c>
      <c r="B12" s="357" t="str">
        <f>TEXT(A12,"DDD")</f>
        <v>Sat</v>
      </c>
      <c r="C12" s="323" t="e">
        <v>#REF!</v>
      </c>
      <c r="D12" s="323">
        <v>601.20000000000005</v>
      </c>
      <c r="E12" s="323">
        <v>32</v>
      </c>
      <c r="F12" s="323">
        <v>679.55</v>
      </c>
      <c r="G12" s="323">
        <v>0</v>
      </c>
      <c r="H12" s="323" t="e">
        <v>#REF!</v>
      </c>
      <c r="I12" s="326">
        <v>0</v>
      </c>
      <c r="J12" s="328"/>
      <c r="K12" s="330">
        <v>98</v>
      </c>
      <c r="L12" s="333">
        <v>90</v>
      </c>
      <c r="M12" s="336">
        <v>84</v>
      </c>
      <c r="N12" s="328"/>
      <c r="O12" s="340">
        <v>1014</v>
      </c>
    </row>
    <row r="13" spans="1:15" x14ac:dyDescent="0.25">
      <c r="A13" s="342">
        <f t="shared" si="0"/>
        <v>44724</v>
      </c>
      <c r="B13" s="357" t="str">
        <f>TEXT(A13,"ddd")</f>
        <v>Sun</v>
      </c>
      <c r="C13" s="323" t="e">
        <v>#REF!</v>
      </c>
      <c r="D13" s="323">
        <v>363</v>
      </c>
      <c r="E13" s="323">
        <v>226</v>
      </c>
      <c r="F13" s="323">
        <v>771.09</v>
      </c>
      <c r="G13" s="323">
        <v>0</v>
      </c>
      <c r="H13" s="323" t="e">
        <v>#REF!</v>
      </c>
      <c r="I13" s="326">
        <v>0</v>
      </c>
      <c r="J13" s="328"/>
      <c r="K13" s="330">
        <v>99</v>
      </c>
      <c r="L13" s="333">
        <v>91</v>
      </c>
      <c r="M13" s="336">
        <v>82</v>
      </c>
      <c r="N13" s="328"/>
      <c r="O13" s="340">
        <v>637</v>
      </c>
    </row>
    <row r="14" spans="1:15" x14ac:dyDescent="0.25">
      <c r="A14" s="342">
        <f t="shared" si="0"/>
        <v>44725</v>
      </c>
      <c r="B14" s="357" t="str">
        <f>TEXT(A14,"DDD")</f>
        <v>Mon</v>
      </c>
      <c r="C14" s="323" t="e">
        <v>#REF!</v>
      </c>
      <c r="D14" s="323">
        <v>344.4</v>
      </c>
      <c r="E14" s="323">
        <v>40</v>
      </c>
      <c r="F14" s="323">
        <v>360.59</v>
      </c>
      <c r="G14" s="323">
        <v>0</v>
      </c>
      <c r="H14" s="323" t="e">
        <v>#REF!</v>
      </c>
      <c r="I14" s="326">
        <v>0</v>
      </c>
      <c r="J14" s="328"/>
      <c r="K14" s="330">
        <v>98</v>
      </c>
      <c r="L14" s="333">
        <v>88</v>
      </c>
      <c r="M14" s="336">
        <v>83</v>
      </c>
      <c r="N14" s="328"/>
      <c r="O14" s="340">
        <v>575</v>
      </c>
    </row>
    <row r="15" spans="1:15" x14ac:dyDescent="0.25">
      <c r="A15" s="342">
        <f t="shared" si="0"/>
        <v>44726</v>
      </c>
      <c r="B15" s="357" t="str">
        <f>TEXT(A15,"ddd")</f>
        <v>Tue</v>
      </c>
      <c r="C15" s="323" t="e">
        <v>#REF!</v>
      </c>
      <c r="D15" s="323">
        <v>388.8</v>
      </c>
      <c r="E15" s="323">
        <v>42</v>
      </c>
      <c r="F15" s="323">
        <v>500.28</v>
      </c>
      <c r="G15" s="323">
        <v>0</v>
      </c>
      <c r="H15" s="323" t="e">
        <v>#REF!</v>
      </c>
      <c r="I15" s="326">
        <v>0</v>
      </c>
      <c r="J15" s="328"/>
      <c r="K15" s="330">
        <v>103</v>
      </c>
      <c r="L15" s="333">
        <v>89</v>
      </c>
      <c r="M15" s="336">
        <v>80</v>
      </c>
      <c r="N15" s="328"/>
      <c r="O15" s="340">
        <v>706</v>
      </c>
    </row>
    <row r="16" spans="1:15" x14ac:dyDescent="0.25">
      <c r="A16" s="342">
        <f t="shared" si="0"/>
        <v>44727</v>
      </c>
      <c r="B16" s="357" t="str">
        <f>TEXT(A16,"DDD")</f>
        <v>Wed</v>
      </c>
      <c r="C16" s="323" t="e">
        <v>#REF!</v>
      </c>
      <c r="D16" s="323">
        <v>511.8</v>
      </c>
      <c r="E16" s="323">
        <v>16</v>
      </c>
      <c r="F16" s="323">
        <v>608.49</v>
      </c>
      <c r="G16" s="323">
        <v>0</v>
      </c>
      <c r="H16" s="323" t="e">
        <v>#REF!</v>
      </c>
      <c r="I16" s="326">
        <v>0</v>
      </c>
      <c r="J16" s="328"/>
      <c r="K16" s="330">
        <v>98</v>
      </c>
      <c r="L16" s="333">
        <v>82</v>
      </c>
      <c r="M16" s="336">
        <v>78</v>
      </c>
      <c r="N16" s="328"/>
      <c r="O16" s="340">
        <v>705</v>
      </c>
    </row>
    <row r="17" spans="1:15" x14ac:dyDescent="0.25">
      <c r="A17" s="342">
        <f t="shared" si="0"/>
        <v>44728</v>
      </c>
      <c r="B17" s="357" t="str">
        <f>TEXT(A17,"ddd")</f>
        <v>Thu</v>
      </c>
      <c r="C17" s="323" t="e">
        <v>#REF!</v>
      </c>
      <c r="D17" s="323">
        <v>448.2</v>
      </c>
      <c r="E17" s="323">
        <v>15.2</v>
      </c>
      <c r="F17" s="323">
        <v>661.11</v>
      </c>
      <c r="G17" s="323">
        <v>0</v>
      </c>
      <c r="H17" s="323" t="e">
        <v>#REF!</v>
      </c>
      <c r="I17" s="326">
        <v>0</v>
      </c>
      <c r="J17" s="328"/>
      <c r="K17" s="330">
        <v>98</v>
      </c>
      <c r="L17" s="333">
        <v>90</v>
      </c>
      <c r="M17" s="336">
        <v>83</v>
      </c>
      <c r="N17" s="328"/>
      <c r="O17" s="340">
        <v>585</v>
      </c>
    </row>
    <row r="18" spans="1:15" x14ac:dyDescent="0.25">
      <c r="A18" s="342">
        <f t="shared" si="0"/>
        <v>44729</v>
      </c>
      <c r="B18" s="357" t="str">
        <f>TEXT(A18,"DDD")</f>
        <v>Fri</v>
      </c>
      <c r="C18" s="323" t="e">
        <v>#REF!</v>
      </c>
      <c r="D18" s="323">
        <v>249.6</v>
      </c>
      <c r="E18" s="323">
        <v>12</v>
      </c>
      <c r="F18" s="323">
        <v>612.32000000000005</v>
      </c>
      <c r="G18" s="323">
        <v>0</v>
      </c>
      <c r="H18" s="323" t="e">
        <v>#REF!</v>
      </c>
      <c r="I18" s="326">
        <v>0</v>
      </c>
      <c r="J18" s="328"/>
      <c r="K18" s="330">
        <v>95</v>
      </c>
      <c r="L18" s="333">
        <v>84</v>
      </c>
      <c r="M18" s="336">
        <v>81</v>
      </c>
      <c r="N18" s="328"/>
      <c r="O18" s="340">
        <v>662</v>
      </c>
    </row>
    <row r="19" spans="1:15" x14ac:dyDescent="0.25">
      <c r="A19" s="342">
        <f t="shared" si="0"/>
        <v>44730</v>
      </c>
      <c r="B19" s="357" t="str">
        <f>TEXT(A19,"ddd")</f>
        <v>Sat</v>
      </c>
      <c r="C19" s="323" t="e">
        <v>#REF!</v>
      </c>
      <c r="D19" s="323">
        <v>0</v>
      </c>
      <c r="E19" s="323">
        <v>48</v>
      </c>
      <c r="F19" s="323">
        <v>617.25</v>
      </c>
      <c r="G19" s="323">
        <v>0</v>
      </c>
      <c r="H19" s="323" t="e">
        <v>#REF!</v>
      </c>
      <c r="I19" s="326">
        <v>0</v>
      </c>
      <c r="J19" s="328"/>
      <c r="K19" s="330">
        <v>96</v>
      </c>
      <c r="L19" s="333">
        <v>84</v>
      </c>
      <c r="M19" s="336">
        <v>79</v>
      </c>
      <c r="N19" s="328"/>
      <c r="O19" s="340">
        <v>855</v>
      </c>
    </row>
    <row r="20" spans="1:15" x14ac:dyDescent="0.25">
      <c r="A20" s="342">
        <f t="shared" si="0"/>
        <v>44731</v>
      </c>
      <c r="B20" s="357" t="str">
        <f>TEXT(A20,"DDD")</f>
        <v>Sun</v>
      </c>
      <c r="C20" s="323" t="e">
        <v>#REF!</v>
      </c>
      <c r="D20" s="323">
        <v>49.5</v>
      </c>
      <c r="E20" s="323">
        <v>104</v>
      </c>
      <c r="F20" s="323">
        <v>385.28</v>
      </c>
      <c r="G20" s="323">
        <v>0</v>
      </c>
      <c r="H20" s="323" t="e">
        <v>#REF!</v>
      </c>
      <c r="I20" s="326">
        <v>0</v>
      </c>
      <c r="J20" s="328"/>
      <c r="K20" s="330">
        <v>96</v>
      </c>
      <c r="L20" s="333">
        <v>84</v>
      </c>
      <c r="M20" s="336">
        <v>76</v>
      </c>
      <c r="N20" s="328"/>
      <c r="O20" s="340">
        <v>476</v>
      </c>
    </row>
    <row r="21" spans="1:15" x14ac:dyDescent="0.25">
      <c r="A21" s="342">
        <f t="shared" si="0"/>
        <v>44732</v>
      </c>
      <c r="B21" s="357" t="str">
        <f>TEXT(A21,"ddd")</f>
        <v>Mon</v>
      </c>
      <c r="C21" s="323" t="e">
        <v>#REF!</v>
      </c>
      <c r="D21" s="323">
        <v>543</v>
      </c>
      <c r="E21" s="323">
        <v>12</v>
      </c>
      <c r="F21" s="323">
        <v>912.38</v>
      </c>
      <c r="G21" s="323">
        <v>0</v>
      </c>
      <c r="H21" s="323" t="e">
        <v>#REF!</v>
      </c>
      <c r="I21" s="326">
        <v>0</v>
      </c>
      <c r="J21" s="328"/>
      <c r="K21" s="330">
        <v>90</v>
      </c>
      <c r="L21" s="333">
        <v>80</v>
      </c>
      <c r="M21" s="336">
        <v>74</v>
      </c>
      <c r="N21" s="328"/>
      <c r="O21" s="340">
        <v>828</v>
      </c>
    </row>
    <row r="22" spans="1:15" x14ac:dyDescent="0.25">
      <c r="A22" s="342">
        <f t="shared" si="0"/>
        <v>44733</v>
      </c>
      <c r="B22" s="357" t="str">
        <f>TEXT(A22,"DDD")</f>
        <v>Tue</v>
      </c>
      <c r="C22" s="323" t="e">
        <v>#REF!</v>
      </c>
      <c r="D22" s="323">
        <v>572.4</v>
      </c>
      <c r="E22" s="323">
        <v>108</v>
      </c>
      <c r="F22" s="323">
        <v>687.44</v>
      </c>
      <c r="G22" s="323">
        <v>0</v>
      </c>
      <c r="H22" s="323" t="e">
        <v>#REF!</v>
      </c>
      <c r="I22" s="326">
        <v>0</v>
      </c>
      <c r="J22" s="328"/>
      <c r="K22" s="330">
        <v>103</v>
      </c>
      <c r="L22" s="333">
        <v>90</v>
      </c>
      <c r="M22" s="336">
        <v>76</v>
      </c>
      <c r="N22" s="328"/>
      <c r="O22" s="340">
        <v>793</v>
      </c>
    </row>
    <row r="23" spans="1:15" x14ac:dyDescent="0.25">
      <c r="A23" s="342">
        <f t="shared" si="0"/>
        <v>44734</v>
      </c>
      <c r="B23" s="357" t="str">
        <f>TEXT(A23,"ddd")</f>
        <v>Wed</v>
      </c>
      <c r="C23" s="323" t="e">
        <v>#REF!</v>
      </c>
      <c r="D23" s="323">
        <v>396</v>
      </c>
      <c r="E23" s="323">
        <v>56</v>
      </c>
      <c r="F23" s="323">
        <v>447.68</v>
      </c>
      <c r="G23" s="323">
        <v>0</v>
      </c>
      <c r="H23" s="323" t="e">
        <v>#REF!</v>
      </c>
      <c r="I23" s="326">
        <v>0</v>
      </c>
      <c r="J23" s="328"/>
      <c r="K23" s="330">
        <v>98</v>
      </c>
      <c r="L23" s="333">
        <v>85</v>
      </c>
      <c r="M23" s="336">
        <v>77</v>
      </c>
      <c r="N23" s="328"/>
      <c r="O23" s="340">
        <v>632</v>
      </c>
    </row>
    <row r="24" spans="1:15" x14ac:dyDescent="0.25">
      <c r="A24" s="342">
        <f t="shared" si="0"/>
        <v>44735</v>
      </c>
      <c r="B24" s="357" t="str">
        <f>TEXT(A24,"DDD")</f>
        <v>Thu</v>
      </c>
      <c r="C24" s="323" t="e">
        <v>#REF!</v>
      </c>
      <c r="D24" s="323">
        <v>126.6</v>
      </c>
      <c r="E24" s="323">
        <v>8</v>
      </c>
      <c r="F24" s="323">
        <v>466.66</v>
      </c>
      <c r="G24" s="323">
        <v>0</v>
      </c>
      <c r="H24" s="323" t="e">
        <v>#REF!</v>
      </c>
      <c r="I24" s="326">
        <v>0</v>
      </c>
      <c r="J24" s="328"/>
      <c r="K24" s="330">
        <v>0</v>
      </c>
      <c r="L24" s="333">
        <v>0</v>
      </c>
      <c r="M24" s="336">
        <v>0</v>
      </c>
      <c r="N24" s="328"/>
      <c r="O24" s="340">
        <v>426</v>
      </c>
    </row>
    <row r="25" spans="1:15" x14ac:dyDescent="0.25">
      <c r="A25" s="342">
        <f t="shared" si="0"/>
        <v>44736</v>
      </c>
      <c r="B25" s="357" t="str">
        <f>TEXT(A25,"ddd")</f>
        <v>Fri</v>
      </c>
      <c r="C25" s="323" t="e">
        <v>#REF!</v>
      </c>
      <c r="D25" s="323">
        <v>570</v>
      </c>
      <c r="E25" s="323">
        <v>20</v>
      </c>
      <c r="F25" s="323">
        <v>922.58</v>
      </c>
      <c r="G25" s="323">
        <v>0</v>
      </c>
      <c r="H25" s="323" t="e">
        <v>#REF!</v>
      </c>
      <c r="I25" s="326">
        <v>0</v>
      </c>
      <c r="J25" s="328"/>
      <c r="K25" s="330">
        <v>98</v>
      </c>
      <c r="L25" s="333">
        <v>87</v>
      </c>
      <c r="M25" s="336">
        <v>77</v>
      </c>
      <c r="N25" s="328"/>
      <c r="O25" s="340">
        <v>1039</v>
      </c>
    </row>
    <row r="26" spans="1:15" x14ac:dyDescent="0.25">
      <c r="A26" s="342">
        <f t="shared" si="0"/>
        <v>44737</v>
      </c>
      <c r="B26" s="357" t="str">
        <f>TEXT(A26,"DDD")</f>
        <v>Sat</v>
      </c>
      <c r="C26" s="323" t="e">
        <v>#REF!</v>
      </c>
      <c r="D26" s="323">
        <v>598.79999999999995</v>
      </c>
      <c r="E26" s="323">
        <v>24</v>
      </c>
      <c r="F26" s="323">
        <v>961.75</v>
      </c>
      <c r="G26" s="323">
        <v>0</v>
      </c>
      <c r="H26" s="323" t="e">
        <v>#REF!</v>
      </c>
      <c r="I26" s="326">
        <v>0</v>
      </c>
      <c r="J26" s="328"/>
      <c r="K26" s="330">
        <v>99</v>
      </c>
      <c r="L26" s="333">
        <v>89</v>
      </c>
      <c r="M26" s="336">
        <v>78</v>
      </c>
      <c r="N26" s="328"/>
      <c r="O26" s="340">
        <v>1014</v>
      </c>
    </row>
    <row r="27" spans="1:15" x14ac:dyDescent="0.25">
      <c r="A27" s="342">
        <f t="shared" si="0"/>
        <v>44738</v>
      </c>
      <c r="B27" s="357" t="str">
        <f>TEXT(A27,"ddd")</f>
        <v>Sun</v>
      </c>
      <c r="C27" s="323" t="e">
        <v>#REF!</v>
      </c>
      <c r="D27" s="323">
        <v>174</v>
      </c>
      <c r="E27" s="323">
        <v>8</v>
      </c>
      <c r="F27" s="323">
        <v>352.47</v>
      </c>
      <c r="G27" s="323">
        <v>0</v>
      </c>
      <c r="H27" s="323" t="e">
        <v>#REF!</v>
      </c>
      <c r="I27" s="326">
        <v>0</v>
      </c>
      <c r="J27" s="328"/>
      <c r="K27" s="330">
        <v>98</v>
      </c>
      <c r="L27" s="333">
        <v>89</v>
      </c>
      <c r="M27" s="336">
        <v>79</v>
      </c>
      <c r="N27" s="328"/>
      <c r="O27" s="340">
        <v>417</v>
      </c>
    </row>
    <row r="28" spans="1:15" x14ac:dyDescent="0.25">
      <c r="A28" s="342">
        <f t="shared" si="0"/>
        <v>44739</v>
      </c>
      <c r="B28" s="357" t="str">
        <f>TEXT(A28,"DDD")</f>
        <v>Mon</v>
      </c>
      <c r="C28" s="323" t="e">
        <v>#REF!</v>
      </c>
      <c r="D28" s="323">
        <v>610.79999999999995</v>
      </c>
      <c r="E28" s="323">
        <v>163</v>
      </c>
      <c r="F28" s="323">
        <v>809.42</v>
      </c>
      <c r="G28" s="323">
        <v>0</v>
      </c>
      <c r="H28" s="323" t="e">
        <v>#REF!</v>
      </c>
      <c r="I28" s="326">
        <v>0</v>
      </c>
      <c r="J28" s="328"/>
      <c r="K28" s="330">
        <v>99</v>
      </c>
      <c r="L28" s="333">
        <v>90</v>
      </c>
      <c r="M28" s="336">
        <v>78</v>
      </c>
      <c r="N28" s="328"/>
      <c r="O28" s="340">
        <v>876</v>
      </c>
    </row>
    <row r="29" spans="1:15" x14ac:dyDescent="0.25">
      <c r="A29" s="342">
        <f t="shared" si="0"/>
        <v>44740</v>
      </c>
      <c r="B29" s="357" t="str">
        <f>TEXT(A29,"ddd")</f>
        <v>Tue</v>
      </c>
      <c r="C29" s="323" t="e">
        <v>#REF!</v>
      </c>
      <c r="D29" s="323">
        <v>552.6</v>
      </c>
      <c r="E29" s="323">
        <v>57</v>
      </c>
      <c r="F29" s="323">
        <v>674.06</v>
      </c>
      <c r="G29" s="323">
        <v>0</v>
      </c>
      <c r="H29" s="323" t="e">
        <v>#REF!</v>
      </c>
      <c r="I29" s="326">
        <v>0</v>
      </c>
      <c r="J29" s="328"/>
      <c r="K29" s="330">
        <v>97</v>
      </c>
      <c r="L29" s="333">
        <v>86</v>
      </c>
      <c r="M29" s="336">
        <v>78</v>
      </c>
      <c r="N29" s="328"/>
      <c r="O29" s="340">
        <v>690</v>
      </c>
    </row>
    <row r="30" spans="1:15" x14ac:dyDescent="0.25">
      <c r="A30" s="342">
        <f t="shared" si="0"/>
        <v>44741</v>
      </c>
      <c r="B30" s="357" t="str">
        <f>TEXT(A30,"ddd")</f>
        <v>Wed</v>
      </c>
      <c r="C30" s="323" t="e">
        <v>#REF!</v>
      </c>
      <c r="D30" s="323">
        <v>466.2</v>
      </c>
      <c r="E30" s="323">
        <v>49</v>
      </c>
      <c r="F30" s="323">
        <v>614.69000000000005</v>
      </c>
      <c r="G30" s="323">
        <v>0</v>
      </c>
      <c r="H30" s="323" t="e">
        <v>#REF!</v>
      </c>
      <c r="I30" s="326">
        <v>0</v>
      </c>
      <c r="J30" s="328"/>
      <c r="K30" s="330">
        <v>99</v>
      </c>
      <c r="L30" s="333">
        <v>82</v>
      </c>
      <c r="M30" s="336">
        <v>77</v>
      </c>
      <c r="N30" s="328"/>
      <c r="O30" s="340">
        <v>770</v>
      </c>
    </row>
    <row r="31" spans="1:15" x14ac:dyDescent="0.25">
      <c r="A31" s="342">
        <f t="shared" si="0"/>
        <v>44742</v>
      </c>
      <c r="B31" s="357" t="str">
        <f>TEXT(A31,"ddd")</f>
        <v>Thu</v>
      </c>
      <c r="C31" s="323" t="e">
        <v>#REF!</v>
      </c>
      <c r="D31" s="323">
        <v>121.8</v>
      </c>
      <c r="E31" s="323">
        <v>40</v>
      </c>
      <c r="F31" s="323">
        <v>464</v>
      </c>
      <c r="G31" s="323">
        <v>0</v>
      </c>
      <c r="H31" s="323" t="e">
        <v>#REF!</v>
      </c>
      <c r="I31" s="326">
        <v>0</v>
      </c>
      <c r="J31" s="328"/>
      <c r="K31" s="330">
        <v>99</v>
      </c>
      <c r="L31" s="333">
        <v>93</v>
      </c>
      <c r="M31" s="336">
        <v>78</v>
      </c>
      <c r="N31" s="328"/>
      <c r="O31" s="340">
        <v>603</v>
      </c>
    </row>
    <row r="32" spans="1:15" ht="15.75" thickBot="1" x14ac:dyDescent="0.3">
      <c r="A32" s="343">
        <f t="shared" si="0"/>
        <v>44743</v>
      </c>
      <c r="B32" s="358" t="str">
        <f>TEXT(A32,"ddd")</f>
        <v>Fri</v>
      </c>
      <c r="C32" s="324" t="e">
        <v>#REF!</v>
      </c>
      <c r="D32" s="324">
        <v>0</v>
      </c>
      <c r="E32" s="324">
        <v>0</v>
      </c>
      <c r="F32" s="324">
        <v>0</v>
      </c>
      <c r="G32" s="324">
        <v>0</v>
      </c>
      <c r="H32" s="324" t="e">
        <v>#REF!</v>
      </c>
      <c r="I32" s="327">
        <v>0</v>
      </c>
      <c r="J32" s="328"/>
      <c r="K32" s="331">
        <v>0</v>
      </c>
      <c r="L32" s="334">
        <v>0</v>
      </c>
      <c r="M32" s="338">
        <v>0</v>
      </c>
      <c r="N32" s="328"/>
      <c r="O32" s="341">
        <v>0</v>
      </c>
    </row>
    <row r="33" spans="1:15" ht="15.75" thickBot="1" x14ac:dyDescent="0.3">
      <c r="C33" s="211"/>
      <c r="D33" s="211"/>
      <c r="E33" s="211"/>
      <c r="F33" s="211"/>
      <c r="G33" s="211"/>
      <c r="H33" s="211"/>
      <c r="I33" s="211"/>
    </row>
    <row r="34" spans="1:15" ht="15.75" thickBot="1" x14ac:dyDescent="0.3">
      <c r="A34" s="344" t="s">
        <v>76</v>
      </c>
      <c r="B34" s="345"/>
      <c r="C34" s="346" t="e">
        <f t="shared" ref="C34:I34" si="1">SUM(C2:C33)</f>
        <v>#REF!</v>
      </c>
      <c r="D34" s="346">
        <f t="shared" si="1"/>
        <v>11018.1</v>
      </c>
      <c r="E34" s="346">
        <f t="shared" si="1"/>
        <v>1572.6</v>
      </c>
      <c r="F34" s="346">
        <f t="shared" si="1"/>
        <v>18422.62</v>
      </c>
      <c r="G34" s="346">
        <f t="shared" si="1"/>
        <v>0</v>
      </c>
      <c r="H34" s="346" t="e">
        <f t="shared" si="1"/>
        <v>#REF!</v>
      </c>
      <c r="I34" s="347">
        <f t="shared" si="1"/>
        <v>0</v>
      </c>
      <c r="J34" s="60"/>
      <c r="K34" s="348">
        <f>Pool!AJ56</f>
        <v>98.275862068965523</v>
      </c>
      <c r="L34" s="349">
        <f>Pool!AJ57</f>
        <v>87.724137931034477</v>
      </c>
      <c r="M34" s="350">
        <f>Pool!AJ58</f>
        <v>80.172413793103445</v>
      </c>
      <c r="N34" s="102"/>
      <c r="O34" s="351">
        <f>SUM(O2:O33)</f>
        <v>20156</v>
      </c>
    </row>
    <row r="37" spans="1:15" x14ac:dyDescent="0.25">
      <c r="A37" s="352" t="s">
        <v>148</v>
      </c>
      <c r="B37" s="352"/>
      <c r="C37" s="352"/>
      <c r="D37" s="352"/>
      <c r="E37" s="352"/>
    </row>
    <row r="38" spans="1:15" x14ac:dyDescent="0.25">
      <c r="A38" s="352"/>
      <c r="B38" s="352"/>
      <c r="C38" s="352" t="s">
        <v>149</v>
      </c>
      <c r="D38" s="352">
        <v>100</v>
      </c>
      <c r="E38" s="352"/>
    </row>
    <row r="39" spans="1:15" x14ac:dyDescent="0.25">
      <c r="A39" s="352"/>
      <c r="B39" s="353" t="s">
        <v>150</v>
      </c>
      <c r="C39" s="353" t="s">
        <v>151</v>
      </c>
      <c r="D39" s="353">
        <v>-10</v>
      </c>
      <c r="E39" s="352"/>
    </row>
    <row r="40" spans="1:15" x14ac:dyDescent="0.25">
      <c r="A40" s="352"/>
      <c r="B40" s="352"/>
      <c r="C40" s="352"/>
      <c r="D40" s="352">
        <v>90</v>
      </c>
      <c r="E40" s="352"/>
    </row>
    <row r="41" spans="1:15" x14ac:dyDescent="0.25">
      <c r="A41" s="352"/>
      <c r="B41" s="354" t="s">
        <v>152</v>
      </c>
      <c r="C41" s="354" t="s">
        <v>58</v>
      </c>
      <c r="D41" s="354">
        <v>20</v>
      </c>
      <c r="E41" s="352"/>
    </row>
    <row r="42" spans="1:15" x14ac:dyDescent="0.25">
      <c r="A42" s="352"/>
      <c r="B42" s="352"/>
      <c r="C42" s="352"/>
      <c r="D42" s="355">
        <v>110</v>
      </c>
      <c r="E42" s="355" t="s">
        <v>107</v>
      </c>
    </row>
  </sheetData>
  <sheetProtection algorithmName="SHA-512" hashValue="vnxNOtIxFBZQ0LhpRKyJHPfWXkepAgzMN3NB/Bg5mo6m9B6Ulh/XLsht3/8IOWIw/F6O2VC34AoDCKGjn3XT4g==" saltValue="ZnNbsC5pAzH44CEqdoOZww==" spinCount="100000" sheet="1"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tabSelected="1" workbookViewId="0">
      <pane xSplit="2" ySplit="2" topLeftCell="T12" activePane="bottomRight" state="frozen"/>
      <selection pane="topRight" activeCell="C1" sqref="C1"/>
      <selection pane="bottomLeft" activeCell="A3" sqref="A3"/>
      <selection pane="bottomRight" activeCell="AN26" sqref="AN26"/>
    </sheetView>
  </sheetViews>
  <sheetFormatPr defaultColWidth="9.140625"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32" width="9.5703125" style="59" bestFit="1" customWidth="1"/>
    <col min="33" max="33" width="7.5703125" style="59" bestFit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7.7109375" style="59" bestFit="1" customWidth="1"/>
    <col min="38" max="38" width="11.28515625" style="59" customWidth="1"/>
    <col min="39" max="39" width="11.85546875" style="59" bestFit="1" customWidth="1"/>
    <col min="40" max="40" width="12.5703125" style="59" bestFit="1" customWidth="1"/>
    <col min="41" max="16384" width="9.140625" style="59"/>
  </cols>
  <sheetData>
    <row r="1" spans="1:37" ht="15.75" thickBot="1" x14ac:dyDescent="0.3">
      <c r="A1" s="170" t="s">
        <v>118</v>
      </c>
      <c r="B1" s="286" t="str">
        <f>'Cash Flow'!C1</f>
        <v xml:space="preserve">June </v>
      </c>
      <c r="C1" s="229" t="str">
        <f t="array" ref="C1:AG1">TRANSPOSE('Cash Flow'!B8:B38)</f>
        <v>Wed</v>
      </c>
      <c r="D1" s="229" t="str">
        <v>Thu</v>
      </c>
      <c r="E1" s="229" t="str">
        <v>Fri</v>
      </c>
      <c r="F1" s="229" t="str">
        <v>Sat</v>
      </c>
      <c r="G1" s="229" t="str">
        <v>Sun</v>
      </c>
      <c r="H1" s="229" t="str">
        <v>Mon</v>
      </c>
      <c r="I1" s="229" t="str">
        <v>Tue</v>
      </c>
      <c r="J1" s="229" t="str">
        <v>Wed</v>
      </c>
      <c r="K1" s="229" t="str">
        <v>Thu</v>
      </c>
      <c r="L1" s="229" t="str">
        <v>Fri</v>
      </c>
      <c r="M1" s="229" t="str">
        <v>Sat</v>
      </c>
      <c r="N1" s="229" t="str">
        <v>Sun</v>
      </c>
      <c r="O1" s="229" t="str">
        <v>Mon</v>
      </c>
      <c r="P1" s="229" t="str">
        <v>Tue</v>
      </c>
      <c r="Q1" s="229" t="str">
        <v>Wed</v>
      </c>
      <c r="R1" s="229" t="str">
        <v>Thu</v>
      </c>
      <c r="S1" s="229" t="str">
        <v>Fri</v>
      </c>
      <c r="T1" s="229" t="str">
        <v>Sat</v>
      </c>
      <c r="U1" s="229" t="str">
        <v>Sun</v>
      </c>
      <c r="V1" s="229" t="str">
        <v>Mon</v>
      </c>
      <c r="W1" s="229" t="str">
        <v>Tue</v>
      </c>
      <c r="X1" s="229" t="str">
        <v>Wed</v>
      </c>
      <c r="Y1" s="229" t="str">
        <v>Thu</v>
      </c>
      <c r="Z1" s="229" t="str">
        <v>Fri</v>
      </c>
      <c r="AA1" s="229" t="str">
        <v>Sat</v>
      </c>
      <c r="AB1" s="229" t="str">
        <v>Sun</v>
      </c>
      <c r="AC1" s="229" t="str">
        <v>Mon</v>
      </c>
      <c r="AD1" s="229" t="str">
        <v>Tue</v>
      </c>
      <c r="AE1" s="229" t="str">
        <v>Wed</v>
      </c>
      <c r="AF1" s="229" t="str">
        <v>Thu</v>
      </c>
      <c r="AG1" s="229" t="str">
        <v>Fri</v>
      </c>
    </row>
    <row r="2" spans="1:37" ht="16.5" thickBot="1" x14ac:dyDescent="0.3">
      <c r="A2" s="117" t="s">
        <v>66</v>
      </c>
      <c r="B2" s="118" t="s">
        <v>131</v>
      </c>
      <c r="C2" s="106">
        <f>'Cash Flow'!A8</f>
        <v>44713</v>
      </c>
      <c r="D2" s="106">
        <f t="shared" ref="D2:AG2" si="0">C2+1</f>
        <v>44714</v>
      </c>
      <c r="E2" s="106">
        <f t="shared" si="0"/>
        <v>44715</v>
      </c>
      <c r="F2" s="106">
        <f t="shared" si="0"/>
        <v>44716</v>
      </c>
      <c r="G2" s="106">
        <f t="shared" si="0"/>
        <v>44717</v>
      </c>
      <c r="H2" s="106">
        <f t="shared" si="0"/>
        <v>44718</v>
      </c>
      <c r="I2" s="106">
        <f t="shared" si="0"/>
        <v>44719</v>
      </c>
      <c r="J2" s="106">
        <f t="shared" si="0"/>
        <v>44720</v>
      </c>
      <c r="K2" s="106">
        <f t="shared" si="0"/>
        <v>44721</v>
      </c>
      <c r="L2" s="106">
        <f t="shared" si="0"/>
        <v>44722</v>
      </c>
      <c r="M2" s="106">
        <f t="shared" si="0"/>
        <v>44723</v>
      </c>
      <c r="N2" s="106">
        <f t="shared" si="0"/>
        <v>44724</v>
      </c>
      <c r="O2" s="106">
        <f t="shared" si="0"/>
        <v>44725</v>
      </c>
      <c r="P2" s="106">
        <f t="shared" si="0"/>
        <v>44726</v>
      </c>
      <c r="Q2" s="106">
        <f t="shared" si="0"/>
        <v>44727</v>
      </c>
      <c r="R2" s="106">
        <f t="shared" si="0"/>
        <v>44728</v>
      </c>
      <c r="S2" s="106">
        <f t="shared" si="0"/>
        <v>44729</v>
      </c>
      <c r="T2" s="106">
        <f t="shared" si="0"/>
        <v>44730</v>
      </c>
      <c r="U2" s="106">
        <f t="shared" si="0"/>
        <v>44731</v>
      </c>
      <c r="V2" s="106">
        <f t="shared" si="0"/>
        <v>44732</v>
      </c>
      <c r="W2" s="106">
        <f t="shared" si="0"/>
        <v>44733</v>
      </c>
      <c r="X2" s="106">
        <f t="shared" si="0"/>
        <v>44734</v>
      </c>
      <c r="Y2" s="106">
        <f t="shared" si="0"/>
        <v>44735</v>
      </c>
      <c r="Z2" s="106">
        <f t="shared" si="0"/>
        <v>44736</v>
      </c>
      <c r="AA2" s="106">
        <f t="shared" si="0"/>
        <v>44737</v>
      </c>
      <c r="AB2" s="106">
        <f t="shared" si="0"/>
        <v>44738</v>
      </c>
      <c r="AC2" s="106">
        <f t="shared" si="0"/>
        <v>44739</v>
      </c>
      <c r="AD2" s="106">
        <f t="shared" si="0"/>
        <v>44740</v>
      </c>
      <c r="AE2" s="106">
        <f t="shared" si="0"/>
        <v>44741</v>
      </c>
      <c r="AF2" s="106">
        <f t="shared" si="0"/>
        <v>44742</v>
      </c>
      <c r="AG2" s="106">
        <f t="shared" si="0"/>
        <v>44743</v>
      </c>
      <c r="AH2" s="119" t="s">
        <v>59</v>
      </c>
      <c r="AJ2" s="63" t="s">
        <v>66</v>
      </c>
      <c r="AK2" s="64" t="s">
        <v>131</v>
      </c>
    </row>
    <row r="3" spans="1:37" ht="15.75" x14ac:dyDescent="0.25">
      <c r="A3" s="120" t="s">
        <v>61</v>
      </c>
      <c r="B3" s="121" t="s">
        <v>83</v>
      </c>
      <c r="C3" s="113">
        <v>17.93</v>
      </c>
      <c r="D3" s="113">
        <v>12.13</v>
      </c>
      <c r="E3" s="113">
        <v>7.02</v>
      </c>
      <c r="F3" s="113">
        <v>22.54</v>
      </c>
      <c r="G3" s="113">
        <v>20.53</v>
      </c>
      <c r="H3" s="113">
        <v>13.53</v>
      </c>
      <c r="I3" s="113">
        <v>13.22</v>
      </c>
      <c r="J3" s="113">
        <v>18.54</v>
      </c>
      <c r="K3" s="113">
        <v>16.23</v>
      </c>
      <c r="L3" s="113">
        <v>13.89</v>
      </c>
      <c r="M3" s="113">
        <v>16.309999999999999</v>
      </c>
      <c r="N3" s="113">
        <v>19.59</v>
      </c>
      <c r="O3" s="113">
        <v>11.91</v>
      </c>
      <c r="P3" s="113">
        <v>17.309999999999999</v>
      </c>
      <c r="Q3" s="113">
        <v>28.2</v>
      </c>
      <c r="R3" s="113">
        <v>15.16</v>
      </c>
      <c r="S3" s="113">
        <v>18.21</v>
      </c>
      <c r="T3" s="113">
        <v>14.96</v>
      </c>
      <c r="U3" s="113">
        <v>10.039999999999999</v>
      </c>
      <c r="V3" s="113">
        <v>16.05</v>
      </c>
      <c r="W3" s="113">
        <v>32.11</v>
      </c>
      <c r="X3" s="113">
        <v>6.83</v>
      </c>
      <c r="Y3" s="113">
        <v>18.23</v>
      </c>
      <c r="Z3" s="113">
        <v>12.12</v>
      </c>
      <c r="AA3" s="113">
        <v>33.79</v>
      </c>
      <c r="AB3" s="113">
        <v>9.82</v>
      </c>
      <c r="AC3" s="113">
        <v>16.59</v>
      </c>
      <c r="AD3" s="113">
        <v>10.75</v>
      </c>
      <c r="AE3" s="113">
        <v>25.57</v>
      </c>
      <c r="AF3" s="113">
        <v>5.88</v>
      </c>
      <c r="AG3" s="113"/>
      <c r="AH3" s="108">
        <f t="shared" ref="AH3:AH15" si="1">SUM(C3:AG3)</f>
        <v>494.99</v>
      </c>
      <c r="AJ3" s="160" t="s">
        <v>61</v>
      </c>
      <c r="AK3" s="161" t="s">
        <v>83</v>
      </c>
    </row>
    <row r="4" spans="1:37" ht="15.75" x14ac:dyDescent="0.25">
      <c r="A4" s="122" t="s">
        <v>69</v>
      </c>
      <c r="B4" s="123" t="s">
        <v>70</v>
      </c>
      <c r="C4" s="124">
        <v>1242</v>
      </c>
      <c r="D4" s="124">
        <v>1287</v>
      </c>
      <c r="E4" s="124">
        <v>1385</v>
      </c>
      <c r="F4" s="124">
        <v>1529</v>
      </c>
      <c r="G4" s="124">
        <v>1549</v>
      </c>
      <c r="H4" s="124">
        <v>1390</v>
      </c>
      <c r="I4" s="124">
        <v>1388</v>
      </c>
      <c r="J4" s="124">
        <v>1412</v>
      </c>
      <c r="K4" s="124">
        <v>1044</v>
      </c>
      <c r="L4" s="124">
        <v>1202</v>
      </c>
      <c r="M4" s="124">
        <v>1909</v>
      </c>
      <c r="N4" s="124">
        <v>1434</v>
      </c>
      <c r="O4" s="124">
        <v>1380</v>
      </c>
      <c r="P4" s="124">
        <f>1843-8</f>
        <v>1835</v>
      </c>
      <c r="Q4" s="124">
        <v>1615</v>
      </c>
      <c r="R4" s="124">
        <v>1371</v>
      </c>
      <c r="S4" s="124">
        <v>1235</v>
      </c>
      <c r="T4" s="124">
        <v>1919</v>
      </c>
      <c r="U4" s="124">
        <v>1255</v>
      </c>
      <c r="V4" s="124">
        <v>1560</v>
      </c>
      <c r="W4" s="124">
        <f>2566-12</f>
        <v>2554</v>
      </c>
      <c r="X4" s="124">
        <v>1576</v>
      </c>
      <c r="Y4" s="124">
        <v>1644</v>
      </c>
      <c r="Z4" s="124">
        <v>1573</v>
      </c>
      <c r="AA4" s="124">
        <v>2038</v>
      </c>
      <c r="AB4" s="124">
        <v>1474</v>
      </c>
      <c r="AC4" s="124">
        <v>1712</v>
      </c>
      <c r="AD4" s="124">
        <v>1846</v>
      </c>
      <c r="AE4" s="124">
        <v>1548</v>
      </c>
      <c r="AF4" s="124">
        <v>913</v>
      </c>
      <c r="AG4" s="124"/>
      <c r="AH4" s="108">
        <f t="shared" si="1"/>
        <v>45819</v>
      </c>
      <c r="AJ4" s="162" t="s">
        <v>69</v>
      </c>
      <c r="AK4" s="163" t="s">
        <v>70</v>
      </c>
    </row>
    <row r="5" spans="1:37" ht="15.75" x14ac:dyDescent="0.25">
      <c r="A5" s="122" t="s">
        <v>80</v>
      </c>
      <c r="B5" s="123" t="s">
        <v>82</v>
      </c>
      <c r="C5" s="125"/>
      <c r="D5" s="125"/>
      <c r="E5" s="125"/>
      <c r="F5" s="125"/>
      <c r="G5" s="125"/>
      <c r="H5" s="125"/>
      <c r="I5" s="125">
        <v>48</v>
      </c>
      <c r="J5" s="125"/>
      <c r="K5" s="125"/>
      <c r="L5" s="125"/>
      <c r="M5" s="125"/>
      <c r="N5" s="125"/>
      <c r="O5" s="125">
        <v>0.01</v>
      </c>
      <c r="P5" s="125"/>
      <c r="Q5" s="125"/>
      <c r="R5" s="125"/>
      <c r="S5" s="125">
        <v>63.89</v>
      </c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08">
        <f t="shared" si="1"/>
        <v>111.9</v>
      </c>
      <c r="AJ5" s="162" t="s">
        <v>80</v>
      </c>
      <c r="AK5" s="163" t="s">
        <v>82</v>
      </c>
    </row>
    <row r="6" spans="1:37" ht="15.75" x14ac:dyDescent="0.25">
      <c r="A6" s="122" t="s">
        <v>79</v>
      </c>
      <c r="B6" s="123" t="s">
        <v>210</v>
      </c>
      <c r="C6" s="125">
        <v>189.05</v>
      </c>
      <c r="D6" s="125">
        <v>128.18</v>
      </c>
      <c r="E6" s="125">
        <v>73.88</v>
      </c>
      <c r="F6" s="125">
        <v>238.32</v>
      </c>
      <c r="G6" s="125">
        <v>217.2</v>
      </c>
      <c r="H6" s="125">
        <v>143.09</v>
      </c>
      <c r="I6" s="125">
        <v>139.02000000000001</v>
      </c>
      <c r="J6" s="125">
        <v>196.44</v>
      </c>
      <c r="K6" s="125">
        <v>171.33</v>
      </c>
      <c r="L6" s="125">
        <v>146.96</v>
      </c>
      <c r="M6" s="125">
        <v>172.73</v>
      </c>
      <c r="N6" s="125">
        <v>207.43</v>
      </c>
      <c r="O6" s="125">
        <v>125.84</v>
      </c>
      <c r="P6" s="125">
        <v>182.9</v>
      </c>
      <c r="Q6" s="125">
        <v>298.45999999999998</v>
      </c>
      <c r="R6" s="125">
        <v>160.32</v>
      </c>
      <c r="S6" s="125">
        <v>192.64</v>
      </c>
      <c r="T6" s="125">
        <v>158.19</v>
      </c>
      <c r="U6" s="125">
        <v>106.28</v>
      </c>
      <c r="V6" s="125">
        <v>170</v>
      </c>
      <c r="W6" s="125">
        <v>339.29</v>
      </c>
      <c r="X6" s="125">
        <v>72.28</v>
      </c>
      <c r="Y6" s="125">
        <v>192.7</v>
      </c>
      <c r="Z6" s="125">
        <v>128.11000000000001</v>
      </c>
      <c r="AA6" s="125">
        <v>357.85</v>
      </c>
      <c r="AB6" s="125">
        <v>103.83</v>
      </c>
      <c r="AC6" s="125">
        <v>175.5</v>
      </c>
      <c r="AD6" s="125">
        <v>113.59</v>
      </c>
      <c r="AE6" s="125">
        <v>270.39</v>
      </c>
      <c r="AF6" s="125">
        <v>62.22</v>
      </c>
      <c r="AG6" s="125"/>
      <c r="AH6" s="108">
        <f t="shared" si="1"/>
        <v>5234.0200000000013</v>
      </c>
      <c r="AJ6" s="162" t="s">
        <v>79</v>
      </c>
      <c r="AK6" s="163" t="s">
        <v>210</v>
      </c>
    </row>
    <row r="7" spans="1:37" ht="15.75" x14ac:dyDescent="0.25">
      <c r="A7" s="122" t="s">
        <v>79</v>
      </c>
      <c r="B7" s="123" t="s">
        <v>81</v>
      </c>
      <c r="C7" s="125"/>
      <c r="D7" s="125"/>
      <c r="E7" s="125"/>
      <c r="F7" s="125">
        <v>1.2</v>
      </c>
      <c r="G7" s="125">
        <v>0.4</v>
      </c>
      <c r="H7" s="125"/>
      <c r="I7" s="125"/>
      <c r="J7" s="125"/>
      <c r="K7" s="125"/>
      <c r="L7" s="125">
        <v>4</v>
      </c>
      <c r="M7" s="125"/>
      <c r="N7" s="125"/>
      <c r="O7" s="125">
        <v>3.2</v>
      </c>
      <c r="P7" s="125">
        <v>0.4</v>
      </c>
      <c r="Q7" s="125"/>
      <c r="R7" s="125"/>
      <c r="S7" s="125"/>
      <c r="T7" s="125">
        <v>5.6</v>
      </c>
      <c r="U7" s="125"/>
      <c r="V7" s="125"/>
      <c r="W7" s="125">
        <v>0.4</v>
      </c>
      <c r="X7" s="125">
        <v>0.4</v>
      </c>
      <c r="Y7" s="125"/>
      <c r="Z7" s="125">
        <v>1.6</v>
      </c>
      <c r="AA7" s="125"/>
      <c r="AB7" s="125"/>
      <c r="AC7" s="125"/>
      <c r="AD7" s="125">
        <v>0.4</v>
      </c>
      <c r="AE7" s="125"/>
      <c r="AF7" s="125"/>
      <c r="AG7" s="125"/>
      <c r="AH7" s="108">
        <f t="shared" si="1"/>
        <v>17.600000000000001</v>
      </c>
      <c r="AJ7" s="162" t="s">
        <v>79</v>
      </c>
      <c r="AK7" s="163" t="s">
        <v>81</v>
      </c>
    </row>
    <row r="8" spans="1:37" ht="16.5" thickBot="1" x14ac:dyDescent="0.3">
      <c r="A8" s="435"/>
      <c r="B8" s="434" t="s">
        <v>196</v>
      </c>
      <c r="C8" s="433">
        <f t="shared" ref="C8:AG8" si="2">SUM(C3:C7)</f>
        <v>1448.98</v>
      </c>
      <c r="D8" s="433">
        <f t="shared" si="2"/>
        <v>1427.3100000000002</v>
      </c>
      <c r="E8" s="433">
        <f t="shared" si="2"/>
        <v>1465.9</v>
      </c>
      <c r="F8" s="433">
        <f t="shared" si="2"/>
        <v>1791.06</v>
      </c>
      <c r="G8" s="433">
        <f t="shared" si="2"/>
        <v>1787.13</v>
      </c>
      <c r="H8" s="433">
        <f t="shared" si="2"/>
        <v>1546.62</v>
      </c>
      <c r="I8" s="433">
        <f t="shared" si="2"/>
        <v>1588.24</v>
      </c>
      <c r="J8" s="433">
        <f t="shared" si="2"/>
        <v>1626.98</v>
      </c>
      <c r="K8" s="433">
        <f t="shared" si="2"/>
        <v>1231.56</v>
      </c>
      <c r="L8" s="433">
        <f t="shared" si="2"/>
        <v>1366.8500000000001</v>
      </c>
      <c r="M8" s="433">
        <f t="shared" si="2"/>
        <v>2098.04</v>
      </c>
      <c r="N8" s="433">
        <f t="shared" si="2"/>
        <v>1661.02</v>
      </c>
      <c r="O8" s="433">
        <f t="shared" si="2"/>
        <v>1520.96</v>
      </c>
      <c r="P8" s="433">
        <f t="shared" si="2"/>
        <v>2035.6100000000001</v>
      </c>
      <c r="Q8" s="433">
        <f t="shared" si="2"/>
        <v>1941.66</v>
      </c>
      <c r="R8" s="433">
        <f t="shared" si="2"/>
        <v>1546.48</v>
      </c>
      <c r="S8" s="433">
        <f t="shared" si="2"/>
        <v>1509.7400000000002</v>
      </c>
      <c r="T8" s="433">
        <f t="shared" si="2"/>
        <v>2097.75</v>
      </c>
      <c r="U8" s="433">
        <f t="shared" si="2"/>
        <v>1371.32</v>
      </c>
      <c r="V8" s="433">
        <f t="shared" si="2"/>
        <v>1746.05</v>
      </c>
      <c r="W8" s="433">
        <f t="shared" si="2"/>
        <v>2925.8</v>
      </c>
      <c r="X8" s="433">
        <f t="shared" si="2"/>
        <v>1655.51</v>
      </c>
      <c r="Y8" s="433">
        <f t="shared" si="2"/>
        <v>1854.93</v>
      </c>
      <c r="Z8" s="433">
        <f t="shared" si="2"/>
        <v>1714.83</v>
      </c>
      <c r="AA8" s="433">
        <f t="shared" si="2"/>
        <v>2429.64</v>
      </c>
      <c r="AB8" s="433">
        <f t="shared" si="2"/>
        <v>1587.6499999999999</v>
      </c>
      <c r="AC8" s="433">
        <f t="shared" si="2"/>
        <v>1904.09</v>
      </c>
      <c r="AD8" s="433">
        <f t="shared" si="2"/>
        <v>1970.74</v>
      </c>
      <c r="AE8" s="433">
        <f t="shared" si="2"/>
        <v>1843.96</v>
      </c>
      <c r="AF8" s="433">
        <f t="shared" si="2"/>
        <v>981.1</v>
      </c>
      <c r="AG8" s="433">
        <f t="shared" si="2"/>
        <v>0</v>
      </c>
      <c r="AH8" s="432">
        <f t="shared" si="1"/>
        <v>51677.51</v>
      </c>
      <c r="AJ8" s="162"/>
      <c r="AK8" s="163"/>
    </row>
    <row r="9" spans="1:37" ht="15.75" x14ac:dyDescent="0.25">
      <c r="A9" s="431" t="s">
        <v>61</v>
      </c>
      <c r="B9" s="430" t="s">
        <v>83</v>
      </c>
      <c r="C9" s="429">
        <v>13.63</v>
      </c>
      <c r="D9" s="107">
        <v>7.81</v>
      </c>
      <c r="E9" s="428">
        <v>6.04</v>
      </c>
      <c r="F9" s="428">
        <v>13.4</v>
      </c>
      <c r="G9" s="428">
        <v>10.31</v>
      </c>
      <c r="H9" s="428">
        <v>3.8</v>
      </c>
      <c r="I9" s="428">
        <v>4.3899999999999997</v>
      </c>
      <c r="J9" s="428">
        <v>13.54</v>
      </c>
      <c r="K9" s="428">
        <v>11.06</v>
      </c>
      <c r="L9" s="428">
        <v>16.989999999999998</v>
      </c>
      <c r="M9" s="428">
        <v>6.17</v>
      </c>
      <c r="N9" s="428">
        <v>20.56</v>
      </c>
      <c r="O9" s="428">
        <v>10.7</v>
      </c>
      <c r="P9" s="428">
        <v>5.53</v>
      </c>
      <c r="Q9" s="428">
        <v>18.13</v>
      </c>
      <c r="R9" s="428">
        <v>17.59</v>
      </c>
      <c r="S9" s="428">
        <v>15.1</v>
      </c>
      <c r="T9" s="428">
        <v>9.85</v>
      </c>
      <c r="U9" s="428">
        <v>7.8</v>
      </c>
      <c r="V9" s="428">
        <v>15.07</v>
      </c>
      <c r="W9" s="428">
        <v>0.36</v>
      </c>
      <c r="X9" s="428">
        <v>9.6</v>
      </c>
      <c r="Y9" s="428">
        <v>19.18</v>
      </c>
      <c r="Z9" s="428">
        <v>18.25</v>
      </c>
      <c r="AA9" s="428">
        <v>13.62</v>
      </c>
      <c r="AB9" s="428">
        <v>7.58</v>
      </c>
      <c r="AC9" s="428">
        <v>11.88</v>
      </c>
      <c r="AD9" s="428">
        <v>10.99</v>
      </c>
      <c r="AE9" s="428">
        <v>11.02</v>
      </c>
      <c r="AF9" s="428">
        <v>11.27</v>
      </c>
      <c r="AG9" s="428"/>
      <c r="AH9" s="427">
        <f t="shared" si="1"/>
        <v>341.21999999999997</v>
      </c>
      <c r="AJ9" s="425"/>
      <c r="AK9" s="424"/>
    </row>
    <row r="10" spans="1:37" ht="15.75" x14ac:dyDescent="0.25">
      <c r="A10" s="122" t="s">
        <v>69</v>
      </c>
      <c r="B10" s="123" t="s">
        <v>70</v>
      </c>
      <c r="C10" s="426">
        <v>746</v>
      </c>
      <c r="D10" s="125">
        <v>772</v>
      </c>
      <c r="E10" s="153">
        <v>779</v>
      </c>
      <c r="F10" s="153">
        <v>1131</v>
      </c>
      <c r="G10" s="153">
        <v>767</v>
      </c>
      <c r="H10" s="153">
        <v>716</v>
      </c>
      <c r="I10" s="153">
        <v>698</v>
      </c>
      <c r="J10" s="153">
        <v>974</v>
      </c>
      <c r="K10" s="153">
        <v>730</v>
      </c>
      <c r="L10" s="153">
        <v>761</v>
      </c>
      <c r="M10" s="153">
        <v>1262</v>
      </c>
      <c r="N10" s="153">
        <v>1070</v>
      </c>
      <c r="O10" s="153">
        <v>726</v>
      </c>
      <c r="P10" s="153">
        <v>940</v>
      </c>
      <c r="Q10" s="153">
        <v>1109</v>
      </c>
      <c r="R10" s="153">
        <v>1089</v>
      </c>
      <c r="S10" s="153">
        <v>914</v>
      </c>
      <c r="T10" s="153">
        <v>803</v>
      </c>
      <c r="U10" s="153">
        <v>1072</v>
      </c>
      <c r="V10" s="153">
        <v>954</v>
      </c>
      <c r="W10" s="153">
        <v>127</v>
      </c>
      <c r="X10" s="153">
        <v>876</v>
      </c>
      <c r="Y10" s="153">
        <v>767</v>
      </c>
      <c r="Z10" s="153">
        <v>1015</v>
      </c>
      <c r="AA10" s="153">
        <v>1477</v>
      </c>
      <c r="AB10" s="153">
        <v>596</v>
      </c>
      <c r="AC10" s="153">
        <v>1131</v>
      </c>
      <c r="AD10" s="153">
        <v>934</v>
      </c>
      <c r="AE10" s="153">
        <v>1142</v>
      </c>
      <c r="AF10" s="153">
        <v>1092</v>
      </c>
      <c r="AG10" s="153"/>
      <c r="AH10" s="421">
        <f t="shared" si="1"/>
        <v>27170</v>
      </c>
      <c r="AJ10" s="425"/>
      <c r="AK10" s="424"/>
    </row>
    <row r="11" spans="1:37" ht="15.75" x14ac:dyDescent="0.25">
      <c r="A11" s="122" t="s">
        <v>80</v>
      </c>
      <c r="B11" s="123" t="s">
        <v>82</v>
      </c>
      <c r="C11" s="426"/>
      <c r="D11" s="125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421">
        <f t="shared" si="1"/>
        <v>0</v>
      </c>
      <c r="AJ11" s="425"/>
      <c r="AK11" s="424"/>
    </row>
    <row r="12" spans="1:37" ht="15.75" x14ac:dyDescent="0.25">
      <c r="A12" s="122" t="s">
        <v>79</v>
      </c>
      <c r="B12" s="123" t="s">
        <v>210</v>
      </c>
      <c r="C12" s="426">
        <v>144.12</v>
      </c>
      <c r="D12" s="125">
        <v>82.65</v>
      </c>
      <c r="E12" s="153">
        <v>63.77</v>
      </c>
      <c r="F12" s="153">
        <v>141.22999999999999</v>
      </c>
      <c r="G12" s="153">
        <v>109.01</v>
      </c>
      <c r="H12" s="153">
        <v>39.159999999999997</v>
      </c>
      <c r="I12" s="153">
        <v>46.39</v>
      </c>
      <c r="J12" s="153">
        <v>143.34</v>
      </c>
      <c r="K12" s="153">
        <v>117.13</v>
      </c>
      <c r="L12" s="153">
        <v>178.72</v>
      </c>
      <c r="M12" s="153">
        <v>64.88</v>
      </c>
      <c r="N12" s="153">
        <v>217.73</v>
      </c>
      <c r="O12" s="153">
        <v>112.3</v>
      </c>
      <c r="P12" s="153">
        <v>58.55</v>
      </c>
      <c r="Q12" s="153">
        <v>191.7</v>
      </c>
      <c r="R12" s="153">
        <v>186.4</v>
      </c>
      <c r="S12" s="153">
        <v>159.88</v>
      </c>
      <c r="T12" s="153">
        <v>103.78</v>
      </c>
      <c r="U12" s="153">
        <v>82.57</v>
      </c>
      <c r="V12" s="153">
        <v>159.05000000000001</v>
      </c>
      <c r="W12" s="153">
        <v>3.8</v>
      </c>
      <c r="X12" s="153">
        <v>101.35</v>
      </c>
      <c r="Y12" s="153">
        <v>202.71</v>
      </c>
      <c r="Z12" s="153">
        <v>193.12</v>
      </c>
      <c r="AA12" s="153">
        <v>142.94</v>
      </c>
      <c r="AB12" s="153">
        <v>80.22</v>
      </c>
      <c r="AC12" s="153">
        <v>124.06</v>
      </c>
      <c r="AD12" s="153">
        <v>116.02</v>
      </c>
      <c r="AE12" s="153">
        <v>116.22</v>
      </c>
      <c r="AF12" s="153">
        <v>119.04</v>
      </c>
      <c r="AG12" s="153"/>
      <c r="AH12" s="421">
        <f t="shared" si="1"/>
        <v>3601.84</v>
      </c>
      <c r="AJ12" s="425"/>
      <c r="AK12" s="424"/>
    </row>
    <row r="13" spans="1:37" ht="15.75" x14ac:dyDescent="0.25">
      <c r="A13" s="122" t="s">
        <v>79</v>
      </c>
      <c r="B13" s="123" t="s">
        <v>81</v>
      </c>
      <c r="C13" s="426"/>
      <c r="D13" s="125">
        <v>0.4</v>
      </c>
      <c r="E13" s="153"/>
      <c r="F13" s="153"/>
      <c r="G13" s="153">
        <v>2.4</v>
      </c>
      <c r="H13" s="153">
        <v>2.4</v>
      </c>
      <c r="I13" s="153"/>
      <c r="J13" s="153"/>
      <c r="K13" s="153">
        <v>0.4</v>
      </c>
      <c r="L13" s="153"/>
      <c r="M13" s="153"/>
      <c r="N13" s="153"/>
      <c r="O13" s="153"/>
      <c r="P13" s="153"/>
      <c r="Q13" s="153">
        <v>1.6</v>
      </c>
      <c r="R13" s="153"/>
      <c r="S13" s="153">
        <v>0</v>
      </c>
      <c r="T13" s="153"/>
      <c r="U13" s="153"/>
      <c r="V13" s="153">
        <v>3.6</v>
      </c>
      <c r="W13" s="153"/>
      <c r="X13" s="153"/>
      <c r="Y13" s="153"/>
      <c r="Z13" s="153"/>
      <c r="AA13" s="153"/>
      <c r="AB13" s="153"/>
      <c r="AC13" s="153"/>
      <c r="AD13" s="153"/>
      <c r="AE13" s="153"/>
      <c r="AF13" s="153">
        <v>1.6</v>
      </c>
      <c r="AG13" s="153"/>
      <c r="AH13" s="421">
        <f t="shared" si="1"/>
        <v>12.399999999999999</v>
      </c>
      <c r="AJ13" s="425"/>
      <c r="AK13" s="424"/>
    </row>
    <row r="14" spans="1:37" ht="16.5" thickBot="1" x14ac:dyDescent="0.3">
      <c r="A14" s="132"/>
      <c r="B14" s="423" t="s">
        <v>195</v>
      </c>
      <c r="C14" s="422">
        <f t="shared" ref="C14:AG14" si="3">SUM(C9:C13)</f>
        <v>903.75</v>
      </c>
      <c r="D14" s="422">
        <f t="shared" si="3"/>
        <v>862.8599999999999</v>
      </c>
      <c r="E14" s="422">
        <f t="shared" si="3"/>
        <v>848.81</v>
      </c>
      <c r="F14" s="422">
        <f t="shared" si="3"/>
        <v>1285.6300000000001</v>
      </c>
      <c r="G14" s="422">
        <f t="shared" si="3"/>
        <v>888.71999999999991</v>
      </c>
      <c r="H14" s="422">
        <f t="shared" si="3"/>
        <v>761.3599999999999</v>
      </c>
      <c r="I14" s="422">
        <f t="shared" si="3"/>
        <v>748.78</v>
      </c>
      <c r="J14" s="422">
        <f t="shared" si="3"/>
        <v>1130.8799999999999</v>
      </c>
      <c r="K14" s="422">
        <f t="shared" si="3"/>
        <v>858.58999999999992</v>
      </c>
      <c r="L14" s="422">
        <f t="shared" si="3"/>
        <v>956.71</v>
      </c>
      <c r="M14" s="422">
        <f t="shared" si="3"/>
        <v>1333.0500000000002</v>
      </c>
      <c r="N14" s="422">
        <f t="shared" si="3"/>
        <v>1308.29</v>
      </c>
      <c r="O14" s="422">
        <f t="shared" si="3"/>
        <v>849</v>
      </c>
      <c r="P14" s="422">
        <f t="shared" si="3"/>
        <v>1004.0799999999999</v>
      </c>
      <c r="Q14" s="422">
        <f t="shared" si="3"/>
        <v>1320.43</v>
      </c>
      <c r="R14" s="422">
        <f t="shared" si="3"/>
        <v>1292.99</v>
      </c>
      <c r="S14" s="422">
        <f t="shared" si="3"/>
        <v>1088.98</v>
      </c>
      <c r="T14" s="422">
        <f t="shared" si="3"/>
        <v>916.63</v>
      </c>
      <c r="U14" s="422">
        <f t="shared" si="3"/>
        <v>1162.3699999999999</v>
      </c>
      <c r="V14" s="422">
        <f t="shared" si="3"/>
        <v>1131.72</v>
      </c>
      <c r="W14" s="422">
        <f t="shared" si="3"/>
        <v>131.16</v>
      </c>
      <c r="X14" s="422">
        <f t="shared" si="3"/>
        <v>986.95</v>
      </c>
      <c r="Y14" s="422">
        <f t="shared" si="3"/>
        <v>988.89</v>
      </c>
      <c r="Z14" s="422">
        <f t="shared" si="3"/>
        <v>1226.3699999999999</v>
      </c>
      <c r="AA14" s="422">
        <f t="shared" si="3"/>
        <v>1633.56</v>
      </c>
      <c r="AB14" s="422">
        <f t="shared" si="3"/>
        <v>683.80000000000007</v>
      </c>
      <c r="AC14" s="422">
        <f t="shared" si="3"/>
        <v>1266.94</v>
      </c>
      <c r="AD14" s="422">
        <f t="shared" si="3"/>
        <v>1061.01</v>
      </c>
      <c r="AE14" s="422">
        <f t="shared" si="3"/>
        <v>1269.24</v>
      </c>
      <c r="AF14" s="422">
        <f t="shared" si="3"/>
        <v>1223.9099999999999</v>
      </c>
      <c r="AG14" s="422">
        <f t="shared" si="3"/>
        <v>0</v>
      </c>
      <c r="AH14" s="421">
        <f t="shared" si="1"/>
        <v>31125.46</v>
      </c>
      <c r="AJ14" s="77"/>
      <c r="AK14" s="78"/>
    </row>
    <row r="15" spans="1:37" x14ac:dyDescent="0.25">
      <c r="A15" s="134"/>
      <c r="B15" s="416" t="s">
        <v>64</v>
      </c>
      <c r="C15" s="415">
        <f t="shared" ref="C15:AG15" si="4">SUM(C3:C7,C9:C13)</f>
        <v>2352.73</v>
      </c>
      <c r="D15" s="415">
        <f t="shared" si="4"/>
        <v>2290.17</v>
      </c>
      <c r="E15" s="415">
        <f t="shared" si="4"/>
        <v>2314.71</v>
      </c>
      <c r="F15" s="415">
        <f t="shared" si="4"/>
        <v>3076.69</v>
      </c>
      <c r="G15" s="415">
        <f t="shared" si="4"/>
        <v>2675.8500000000004</v>
      </c>
      <c r="H15" s="415">
        <f t="shared" si="4"/>
        <v>2307.98</v>
      </c>
      <c r="I15" s="415">
        <f t="shared" si="4"/>
        <v>2337.02</v>
      </c>
      <c r="J15" s="415">
        <f t="shared" si="4"/>
        <v>2757.86</v>
      </c>
      <c r="K15" s="415">
        <f t="shared" si="4"/>
        <v>2090.15</v>
      </c>
      <c r="L15" s="415">
        <f t="shared" si="4"/>
        <v>2323.56</v>
      </c>
      <c r="M15" s="415">
        <f t="shared" si="4"/>
        <v>3431.09</v>
      </c>
      <c r="N15" s="415">
        <f t="shared" si="4"/>
        <v>2969.31</v>
      </c>
      <c r="O15" s="415">
        <f t="shared" si="4"/>
        <v>2369.96</v>
      </c>
      <c r="P15" s="415">
        <f t="shared" si="4"/>
        <v>3039.6900000000005</v>
      </c>
      <c r="Q15" s="415">
        <f t="shared" si="4"/>
        <v>3262.0899999999997</v>
      </c>
      <c r="R15" s="415">
        <f t="shared" si="4"/>
        <v>2839.47</v>
      </c>
      <c r="S15" s="415">
        <f t="shared" si="4"/>
        <v>2598.7200000000003</v>
      </c>
      <c r="T15" s="415">
        <f t="shared" si="4"/>
        <v>3014.38</v>
      </c>
      <c r="U15" s="415">
        <f t="shared" si="4"/>
        <v>2533.69</v>
      </c>
      <c r="V15" s="415">
        <f t="shared" si="4"/>
        <v>2877.77</v>
      </c>
      <c r="W15" s="415">
        <f t="shared" si="4"/>
        <v>3056.9600000000005</v>
      </c>
      <c r="X15" s="415">
        <f t="shared" si="4"/>
        <v>2642.4599999999996</v>
      </c>
      <c r="Y15" s="415">
        <f t="shared" si="4"/>
        <v>2843.82</v>
      </c>
      <c r="Z15" s="415">
        <f t="shared" si="4"/>
        <v>2941.2</v>
      </c>
      <c r="AA15" s="415">
        <f t="shared" si="4"/>
        <v>4063.2</v>
      </c>
      <c r="AB15" s="415">
        <f t="shared" si="4"/>
        <v>2271.4499999999994</v>
      </c>
      <c r="AC15" s="415">
        <f t="shared" si="4"/>
        <v>3171.03</v>
      </c>
      <c r="AD15" s="415">
        <f t="shared" si="4"/>
        <v>3031.75</v>
      </c>
      <c r="AE15" s="415">
        <f t="shared" si="4"/>
        <v>3113.2</v>
      </c>
      <c r="AF15" s="415">
        <f t="shared" si="4"/>
        <v>2205.0099999999998</v>
      </c>
      <c r="AG15" s="415">
        <f t="shared" si="4"/>
        <v>0</v>
      </c>
      <c r="AH15" s="109">
        <f t="shared" si="1"/>
        <v>82802.969999999987</v>
      </c>
      <c r="AJ15" s="83"/>
      <c r="AK15" s="84" t="s">
        <v>64</v>
      </c>
    </row>
    <row r="16" spans="1:37" ht="15.75" thickBot="1" x14ac:dyDescent="0.3">
      <c r="A16" s="287"/>
      <c r="B16" s="288"/>
      <c r="C16" s="289"/>
      <c r="D16" s="289"/>
      <c r="E16" s="289"/>
      <c r="F16" s="289"/>
      <c r="G16" s="289"/>
      <c r="H16" s="289"/>
      <c r="I16" s="289"/>
      <c r="J16" s="289"/>
      <c r="K16" s="289"/>
      <c r="L16" s="289"/>
      <c r="M16" s="289"/>
      <c r="N16" s="289"/>
      <c r="O16" s="289"/>
      <c r="P16" s="289"/>
      <c r="Q16" s="289"/>
      <c r="R16" s="289"/>
      <c r="S16" s="289"/>
      <c r="T16" s="289"/>
      <c r="U16" s="289"/>
      <c r="V16" s="289"/>
      <c r="W16" s="289"/>
      <c r="X16" s="289"/>
      <c r="Y16" s="289"/>
      <c r="Z16" s="289"/>
      <c r="AA16" s="289"/>
      <c r="AB16" s="289"/>
      <c r="AC16" s="289"/>
      <c r="AD16" s="289"/>
      <c r="AE16" s="289"/>
      <c r="AF16" s="289"/>
      <c r="AG16" s="289"/>
      <c r="AH16" s="290"/>
      <c r="AJ16" s="191"/>
      <c r="AK16" s="191"/>
    </row>
    <row r="17" spans="1:40" ht="16.5" thickBot="1" x14ac:dyDescent="0.3">
      <c r="A17" s="86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420"/>
      <c r="AJ17" s="507" t="s">
        <v>130</v>
      </c>
      <c r="AK17" s="508"/>
      <c r="AL17" s="508"/>
      <c r="AM17" s="509"/>
    </row>
    <row r="18" spans="1:40" ht="16.5" thickBot="1" x14ac:dyDescent="0.3">
      <c r="A18" s="368" t="str">
        <f>'[1]TEMP Summary'!A12</f>
        <v>01-00-1000</v>
      </c>
      <c r="B18" s="454" t="s">
        <v>194</v>
      </c>
      <c r="C18" s="436">
        <v>758.88</v>
      </c>
      <c r="D18" s="437">
        <v>589</v>
      </c>
      <c r="E18" s="437">
        <v>759.95</v>
      </c>
      <c r="F18" s="437">
        <v>787.56</v>
      </c>
      <c r="G18" s="437">
        <v>796</v>
      </c>
      <c r="H18" s="437">
        <v>724.71</v>
      </c>
      <c r="I18" s="437">
        <v>816.37</v>
      </c>
      <c r="J18" s="437">
        <v>874.35</v>
      </c>
      <c r="K18" s="437">
        <v>570.57000000000005</v>
      </c>
      <c r="L18" s="437">
        <v>637.26</v>
      </c>
      <c r="M18" s="437">
        <v>928.08</v>
      </c>
      <c r="N18" s="437">
        <v>704.58</v>
      </c>
      <c r="O18" s="437">
        <v>583.01</v>
      </c>
      <c r="P18" s="437">
        <v>1124.82</v>
      </c>
      <c r="Q18" s="437">
        <v>1120.68</v>
      </c>
      <c r="R18" s="437">
        <v>662.33</v>
      </c>
      <c r="S18" s="437">
        <v>751.34</v>
      </c>
      <c r="T18" s="107">
        <v>882.14</v>
      </c>
      <c r="U18" s="107">
        <v>617.21</v>
      </c>
      <c r="V18" s="107">
        <v>776.02</v>
      </c>
      <c r="W18" s="107">
        <v>1286.96</v>
      </c>
      <c r="X18" s="107">
        <v>725.5</v>
      </c>
      <c r="Y18" s="107">
        <v>775.27</v>
      </c>
      <c r="Z18" s="107">
        <v>887.26</v>
      </c>
      <c r="AA18" s="107">
        <v>1090.9100000000001</v>
      </c>
      <c r="AB18" s="107">
        <v>620.27</v>
      </c>
      <c r="AC18" s="107">
        <v>964.29</v>
      </c>
      <c r="AD18" s="107">
        <v>868.55</v>
      </c>
      <c r="AE18" s="107">
        <v>895.27</v>
      </c>
      <c r="AF18" s="473">
        <v>526.03</v>
      </c>
      <c r="AG18" s="459"/>
      <c r="AH18" s="419">
        <f t="shared" ref="AH18:AH23" si="5">SUM(C18:AG18)</f>
        <v>24105.17</v>
      </c>
      <c r="AJ18" s="283" t="s">
        <v>66</v>
      </c>
      <c r="AK18" s="284" t="s">
        <v>131</v>
      </c>
      <c r="AL18" s="284" t="s">
        <v>123</v>
      </c>
      <c r="AM18" s="285" t="s">
        <v>124</v>
      </c>
    </row>
    <row r="19" spans="1:40" ht="16.5" thickBot="1" x14ac:dyDescent="0.3">
      <c r="A19" s="369" t="str">
        <f>'[1]TEMP Summary'!A13</f>
        <v>01-00-1000</v>
      </c>
      <c r="B19" s="455" t="s">
        <v>193</v>
      </c>
      <c r="C19" s="438">
        <v>518.08000000000004</v>
      </c>
      <c r="D19" s="439">
        <v>441.66</v>
      </c>
      <c r="E19" s="439">
        <v>467.11</v>
      </c>
      <c r="F19" s="439">
        <v>674.4</v>
      </c>
      <c r="G19" s="439">
        <v>415.7</v>
      </c>
      <c r="H19" s="439">
        <v>396.46</v>
      </c>
      <c r="I19" s="439">
        <v>313.64</v>
      </c>
      <c r="J19" s="439">
        <v>471.12</v>
      </c>
      <c r="K19" s="439">
        <v>458.3</v>
      </c>
      <c r="L19" s="439">
        <v>333.32</v>
      </c>
      <c r="M19" s="439">
        <v>570.04</v>
      </c>
      <c r="N19" s="439">
        <v>620.41</v>
      </c>
      <c r="O19" s="439">
        <v>579.79</v>
      </c>
      <c r="P19" s="439">
        <v>346.81</v>
      </c>
      <c r="Q19" s="439">
        <v>598.6</v>
      </c>
      <c r="R19" s="439">
        <v>546.13</v>
      </c>
      <c r="S19" s="439">
        <v>388.5</v>
      </c>
      <c r="T19" s="125">
        <v>450.61</v>
      </c>
      <c r="U19" s="125">
        <v>548.44000000000005</v>
      </c>
      <c r="V19" s="125">
        <v>552.74</v>
      </c>
      <c r="W19" s="125">
        <v>87.33</v>
      </c>
      <c r="X19" s="125">
        <v>487</v>
      </c>
      <c r="Y19" s="125">
        <v>479</v>
      </c>
      <c r="Z19" s="125">
        <v>466.86</v>
      </c>
      <c r="AA19" s="125">
        <v>631.80999999999995</v>
      </c>
      <c r="AB19" s="125">
        <v>360.48</v>
      </c>
      <c r="AC19" s="125">
        <v>594.27</v>
      </c>
      <c r="AD19" s="125">
        <v>463.38</v>
      </c>
      <c r="AE19" s="472">
        <v>661.72</v>
      </c>
      <c r="AF19" s="472">
        <v>521.83000000000004</v>
      </c>
      <c r="AG19" s="460"/>
      <c r="AH19" s="418">
        <f t="shared" si="5"/>
        <v>14445.539999999999</v>
      </c>
      <c r="AJ19" s="359"/>
      <c r="AK19" s="360"/>
      <c r="AL19" s="360"/>
      <c r="AM19" s="361"/>
    </row>
    <row r="20" spans="1:40" ht="15.75" x14ac:dyDescent="0.25">
      <c r="A20" s="369" t="str">
        <f>'[1]TEMP Summary'!A14</f>
        <v>01-00-1000</v>
      </c>
      <c r="B20" s="455" t="s">
        <v>192</v>
      </c>
      <c r="C20" s="467">
        <v>690.1</v>
      </c>
      <c r="D20" s="468">
        <v>838.31</v>
      </c>
      <c r="E20" s="468">
        <v>705.95</v>
      </c>
      <c r="F20" s="468">
        <v>1003.5</v>
      </c>
      <c r="G20" s="468">
        <v>991.13</v>
      </c>
      <c r="H20" s="468">
        <v>821.91</v>
      </c>
      <c r="I20" s="468">
        <v>771.87</v>
      </c>
      <c r="J20" s="468">
        <v>752.63</v>
      </c>
      <c r="K20" s="468">
        <v>660.99</v>
      </c>
      <c r="L20" s="468">
        <v>729.59</v>
      </c>
      <c r="M20" s="468">
        <v>1169.96</v>
      </c>
      <c r="N20" s="468">
        <v>956.44</v>
      </c>
      <c r="O20" s="468">
        <v>937.95</v>
      </c>
      <c r="P20" s="468">
        <v>910.79</v>
      </c>
      <c r="Q20" s="468">
        <v>820.98</v>
      </c>
      <c r="R20" s="468">
        <v>884.15</v>
      </c>
      <c r="S20" s="468">
        <v>758.4</v>
      </c>
      <c r="T20" s="468">
        <v>1235.6099999999999</v>
      </c>
      <c r="U20" s="468">
        <v>754.11</v>
      </c>
      <c r="V20" s="468">
        <v>970.03</v>
      </c>
      <c r="W20" s="468">
        <v>1649.84</v>
      </c>
      <c r="X20" s="468">
        <v>930.01</v>
      </c>
      <c r="Y20" s="468">
        <v>1063.6600000000001</v>
      </c>
      <c r="Z20" s="468">
        <v>827.57</v>
      </c>
      <c r="AA20" s="468">
        <v>1338.73</v>
      </c>
      <c r="AB20" s="468">
        <v>967.38</v>
      </c>
      <c r="AC20" s="483">
        <v>905.8</v>
      </c>
      <c r="AD20" s="483">
        <v>1102.19</v>
      </c>
      <c r="AE20" s="483">
        <v>948.69</v>
      </c>
      <c r="AF20" s="483">
        <v>459.07</v>
      </c>
      <c r="AG20" s="460"/>
      <c r="AH20" s="418">
        <f t="shared" si="5"/>
        <v>27557.339999999993</v>
      </c>
      <c r="AJ20" s="126" t="s">
        <v>60</v>
      </c>
      <c r="AK20" s="127" t="s">
        <v>54</v>
      </c>
      <c r="AL20" s="452">
        <f>SUM(C18:AD19,AE18)</f>
        <v>36841.129999999997</v>
      </c>
      <c r="AM20" s="453">
        <f>SUM(AF18:AG19,AE19)</f>
        <v>1709.5800000000002</v>
      </c>
    </row>
    <row r="21" spans="1:40" ht="15.75" x14ac:dyDescent="0.25">
      <c r="A21" s="369" t="str">
        <f>'[1]TEMP Summary'!A15</f>
        <v>01-00-1000</v>
      </c>
      <c r="B21" s="455" t="s">
        <v>191</v>
      </c>
      <c r="C21" s="467">
        <v>385.67</v>
      </c>
      <c r="D21" s="468">
        <v>421.2</v>
      </c>
      <c r="E21" s="468">
        <v>381.7</v>
      </c>
      <c r="F21" s="468">
        <v>549.24</v>
      </c>
      <c r="G21" s="468">
        <v>473.02</v>
      </c>
      <c r="H21" s="468">
        <v>359.9</v>
      </c>
      <c r="I21" s="468">
        <v>435.14</v>
      </c>
      <c r="J21" s="468">
        <v>659.76</v>
      </c>
      <c r="K21" s="468">
        <v>400.29</v>
      </c>
      <c r="L21" s="468">
        <v>623.39</v>
      </c>
      <c r="M21" s="468">
        <v>673.01</v>
      </c>
      <c r="N21" s="468">
        <v>687.88</v>
      </c>
      <c r="O21" s="468">
        <v>269.20999999999998</v>
      </c>
      <c r="P21" s="468">
        <v>657.27</v>
      </c>
      <c r="Q21" s="468">
        <v>721.83</v>
      </c>
      <c r="R21" s="468">
        <v>746.86</v>
      </c>
      <c r="S21" s="468">
        <v>700.48</v>
      </c>
      <c r="T21" s="468">
        <v>466.02</v>
      </c>
      <c r="U21" s="468">
        <v>613.92999999999995</v>
      </c>
      <c r="V21" s="468">
        <v>578.98</v>
      </c>
      <c r="W21" s="468">
        <v>43.83</v>
      </c>
      <c r="X21" s="468">
        <v>499.95</v>
      </c>
      <c r="Y21" s="468">
        <v>509.89</v>
      </c>
      <c r="Z21" s="468">
        <v>759.51</v>
      </c>
      <c r="AA21" s="468">
        <v>1001.75</v>
      </c>
      <c r="AB21" s="468">
        <v>323.32</v>
      </c>
      <c r="AC21" s="483">
        <v>672.67</v>
      </c>
      <c r="AD21" s="483">
        <v>597.63</v>
      </c>
      <c r="AE21" s="483">
        <v>607.52</v>
      </c>
      <c r="AF21" s="483">
        <v>702.08</v>
      </c>
      <c r="AG21" s="460"/>
      <c r="AH21" s="418">
        <f t="shared" si="5"/>
        <v>16522.93</v>
      </c>
      <c r="AJ21" s="129" t="s">
        <v>60</v>
      </c>
      <c r="AK21" s="130" t="s">
        <v>211</v>
      </c>
      <c r="AL21" s="291">
        <f>SUM(C20:AB21)-AL29</f>
        <v>36942.370000000003</v>
      </c>
      <c r="AM21" s="292">
        <f>SUM(AC20:AG21)-AM29</f>
        <v>5812.8099999999995</v>
      </c>
    </row>
    <row r="22" spans="1:40" ht="15.75" x14ac:dyDescent="0.25">
      <c r="A22" s="369" t="s">
        <v>60</v>
      </c>
      <c r="B22" s="462" t="s">
        <v>215</v>
      </c>
      <c r="C22" s="463"/>
      <c r="D22" s="464"/>
      <c r="E22" s="464"/>
      <c r="F22" s="464"/>
      <c r="G22" s="464"/>
      <c r="H22" s="464"/>
      <c r="I22" s="464"/>
      <c r="J22" s="464"/>
      <c r="K22" s="464"/>
      <c r="L22" s="464"/>
      <c r="M22" s="464"/>
      <c r="N22" s="464"/>
      <c r="O22" s="464"/>
      <c r="P22" s="464"/>
      <c r="Q22" s="464"/>
      <c r="R22" s="464"/>
      <c r="S22" s="464"/>
      <c r="T22" s="153"/>
      <c r="U22" s="153">
        <v>106</v>
      </c>
      <c r="V22" s="153"/>
      <c r="W22" s="153"/>
      <c r="X22" s="153"/>
      <c r="Y22" s="153"/>
      <c r="Z22" s="153"/>
      <c r="AA22" s="153"/>
      <c r="AB22" s="153"/>
      <c r="AC22" s="153"/>
      <c r="AD22" s="153">
        <v>0</v>
      </c>
      <c r="AE22" s="484">
        <v>38.74</v>
      </c>
      <c r="AF22" s="153"/>
      <c r="AG22" s="465"/>
      <c r="AH22" s="418">
        <f t="shared" si="5"/>
        <v>144.74</v>
      </c>
      <c r="AJ22" s="362" t="s">
        <v>60</v>
      </c>
      <c r="AK22" s="363" t="s">
        <v>217</v>
      </c>
      <c r="AL22" s="364">
        <f>SUM(C22:AD22)</f>
        <v>106</v>
      </c>
      <c r="AM22" s="365">
        <f>AE22</f>
        <v>38.74</v>
      </c>
    </row>
    <row r="23" spans="1:40" ht="16.5" thickBot="1" x14ac:dyDescent="0.3">
      <c r="A23" s="370" t="s">
        <v>60</v>
      </c>
      <c r="B23" s="456" t="s">
        <v>216</v>
      </c>
      <c r="C23" s="366"/>
      <c r="D23" s="367"/>
      <c r="E23" s="367"/>
      <c r="F23" s="367"/>
      <c r="G23" s="367"/>
      <c r="H23" s="367"/>
      <c r="I23" s="367"/>
      <c r="J23" s="367"/>
      <c r="K23" s="367"/>
      <c r="L23" s="367"/>
      <c r="M23" s="367"/>
      <c r="N23" s="367"/>
      <c r="O23" s="367"/>
      <c r="P23" s="367"/>
      <c r="Q23" s="367"/>
      <c r="R23" s="367"/>
      <c r="S23" s="367"/>
      <c r="T23" s="367"/>
      <c r="U23" s="367"/>
      <c r="V23" s="367"/>
      <c r="W23" s="367"/>
      <c r="X23" s="367"/>
      <c r="Y23" s="367"/>
      <c r="Z23" s="367"/>
      <c r="AA23" s="367"/>
      <c r="AB23" s="367"/>
      <c r="AC23" s="367"/>
      <c r="AD23" s="367"/>
      <c r="AE23" s="367"/>
      <c r="AF23" s="367"/>
      <c r="AG23" s="461"/>
      <c r="AH23" s="466">
        <f t="shared" si="5"/>
        <v>0</v>
      </c>
      <c r="AJ23" s="362"/>
      <c r="AK23" s="363"/>
      <c r="AL23" s="364"/>
      <c r="AM23" s="365"/>
    </row>
    <row r="24" spans="1:40" ht="16.5" thickBot="1" x14ac:dyDescent="0.3">
      <c r="A24" s="457"/>
      <c r="B24" s="458" t="s">
        <v>65</v>
      </c>
      <c r="C24" s="485">
        <f>SUM(C18:C23)</f>
        <v>2352.73</v>
      </c>
      <c r="D24" s="486">
        <f t="shared" ref="D24:AG24" si="6">SUM(D18:D23)</f>
        <v>2290.17</v>
      </c>
      <c r="E24" s="486">
        <f t="shared" si="6"/>
        <v>2314.71</v>
      </c>
      <c r="F24" s="486">
        <f t="shared" si="6"/>
        <v>3014.7</v>
      </c>
      <c r="G24" s="486">
        <f t="shared" si="6"/>
        <v>2675.85</v>
      </c>
      <c r="H24" s="486">
        <f t="shared" si="6"/>
        <v>2302.98</v>
      </c>
      <c r="I24" s="486">
        <f t="shared" si="6"/>
        <v>2337.02</v>
      </c>
      <c r="J24" s="486">
        <f t="shared" si="6"/>
        <v>2757.8599999999997</v>
      </c>
      <c r="K24" s="486">
        <f t="shared" si="6"/>
        <v>2090.15</v>
      </c>
      <c r="L24" s="486">
        <f t="shared" si="6"/>
        <v>2323.56</v>
      </c>
      <c r="M24" s="486">
        <f t="shared" si="6"/>
        <v>3341.09</v>
      </c>
      <c r="N24" s="486">
        <f t="shared" si="6"/>
        <v>2969.3100000000004</v>
      </c>
      <c r="O24" s="486">
        <f t="shared" si="6"/>
        <v>2369.96</v>
      </c>
      <c r="P24" s="486">
        <f t="shared" si="6"/>
        <v>3039.69</v>
      </c>
      <c r="Q24" s="486">
        <f t="shared" si="6"/>
        <v>3262.09</v>
      </c>
      <c r="R24" s="486">
        <f t="shared" si="6"/>
        <v>2839.4700000000003</v>
      </c>
      <c r="S24" s="486">
        <f t="shared" si="6"/>
        <v>2598.7200000000003</v>
      </c>
      <c r="T24" s="486">
        <f t="shared" si="6"/>
        <v>3034.3799999999997</v>
      </c>
      <c r="U24" s="486">
        <f t="shared" si="6"/>
        <v>2639.69</v>
      </c>
      <c r="V24" s="486">
        <f t="shared" si="6"/>
        <v>2877.77</v>
      </c>
      <c r="W24" s="486">
        <f t="shared" si="6"/>
        <v>3067.96</v>
      </c>
      <c r="X24" s="486">
        <f t="shared" si="6"/>
        <v>2642.46</v>
      </c>
      <c r="Y24" s="486">
        <f t="shared" si="6"/>
        <v>2827.82</v>
      </c>
      <c r="Z24" s="486">
        <f t="shared" si="6"/>
        <v>2941.2</v>
      </c>
      <c r="AA24" s="486">
        <f t="shared" si="6"/>
        <v>4063.2</v>
      </c>
      <c r="AB24" s="486">
        <f t="shared" si="6"/>
        <v>2271.4500000000003</v>
      </c>
      <c r="AC24" s="486">
        <f t="shared" si="6"/>
        <v>3137.0299999999997</v>
      </c>
      <c r="AD24" s="486">
        <f t="shared" si="6"/>
        <v>3031.75</v>
      </c>
      <c r="AE24" s="486">
        <f t="shared" si="6"/>
        <v>3151.94</v>
      </c>
      <c r="AF24" s="486">
        <f t="shared" si="6"/>
        <v>2209.0100000000002</v>
      </c>
      <c r="AG24" s="487">
        <f t="shared" si="6"/>
        <v>0</v>
      </c>
      <c r="AH24" s="451">
        <f>SUM(C24:AG24)</f>
        <v>82775.72</v>
      </c>
      <c r="AJ24" s="135" t="s">
        <v>84</v>
      </c>
      <c r="AK24" s="136" t="s">
        <v>33</v>
      </c>
      <c r="AL24" s="293">
        <f>SUM(AH26:AH27)</f>
        <v>27.250000000000341</v>
      </c>
      <c r="AM24" s="294"/>
      <c r="AN24" s="116" t="s">
        <v>132</v>
      </c>
    </row>
    <row r="25" spans="1:40" ht="16.5" thickBot="1" x14ac:dyDescent="0.3">
      <c r="A25" s="95"/>
      <c r="B25" s="96"/>
      <c r="C25" s="97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8"/>
      <c r="AJ25" s="496" t="s">
        <v>76</v>
      </c>
      <c r="AK25" s="510"/>
      <c r="AL25" s="511">
        <f>SUM(AL20:AM24)</f>
        <v>81477.88</v>
      </c>
      <c r="AM25" s="512"/>
      <c r="AN25" s="295">
        <f>AL25-(AH24+AH26+AH27-AH29)</f>
        <v>0</v>
      </c>
    </row>
    <row r="26" spans="1:40" ht="15.75" x14ac:dyDescent="0.25">
      <c r="A26" s="417"/>
      <c r="B26" s="416" t="s">
        <v>190</v>
      </c>
      <c r="C26" s="415">
        <f>SUM(C3:C7)-(C18+C20+C22)</f>
        <v>0</v>
      </c>
      <c r="D26" s="415">
        <f t="shared" ref="D26:AG26" si="7">SUM(D3:D7)-(D18+D20+D22)</f>
        <v>0</v>
      </c>
      <c r="E26" s="415">
        <f t="shared" si="7"/>
        <v>0</v>
      </c>
      <c r="F26" s="415">
        <f t="shared" si="7"/>
        <v>0</v>
      </c>
      <c r="G26" s="415">
        <f t="shared" si="7"/>
        <v>0</v>
      </c>
      <c r="H26" s="415">
        <f t="shared" si="7"/>
        <v>0</v>
      </c>
      <c r="I26" s="415">
        <f t="shared" si="7"/>
        <v>0</v>
      </c>
      <c r="J26" s="415">
        <f t="shared" si="7"/>
        <v>0</v>
      </c>
      <c r="K26" s="415">
        <f t="shared" si="7"/>
        <v>0</v>
      </c>
      <c r="L26" s="415">
        <f t="shared" si="7"/>
        <v>0</v>
      </c>
      <c r="M26" s="415">
        <f t="shared" si="7"/>
        <v>0</v>
      </c>
      <c r="N26" s="415">
        <f t="shared" si="7"/>
        <v>0</v>
      </c>
      <c r="O26" s="415">
        <f t="shared" si="7"/>
        <v>0</v>
      </c>
      <c r="P26" s="415">
        <f t="shared" si="7"/>
        <v>0</v>
      </c>
      <c r="Q26" s="415">
        <f t="shared" si="7"/>
        <v>0</v>
      </c>
      <c r="R26" s="415">
        <f t="shared" si="7"/>
        <v>0</v>
      </c>
      <c r="S26" s="415">
        <f t="shared" si="7"/>
        <v>0</v>
      </c>
      <c r="T26" s="415">
        <f t="shared" si="7"/>
        <v>-20</v>
      </c>
      <c r="U26" s="415">
        <f t="shared" si="7"/>
        <v>-106.00000000000023</v>
      </c>
      <c r="V26" s="415">
        <f t="shared" si="7"/>
        <v>0</v>
      </c>
      <c r="W26" s="415">
        <f t="shared" si="7"/>
        <v>-11</v>
      </c>
      <c r="X26" s="415">
        <f t="shared" si="7"/>
        <v>0</v>
      </c>
      <c r="Y26" s="415">
        <f t="shared" si="7"/>
        <v>16</v>
      </c>
      <c r="Z26" s="415">
        <f t="shared" si="7"/>
        <v>0</v>
      </c>
      <c r="AA26" s="415">
        <f t="shared" si="7"/>
        <v>0</v>
      </c>
      <c r="AB26" s="415">
        <f t="shared" si="7"/>
        <v>0</v>
      </c>
      <c r="AC26" s="415">
        <f t="shared" si="7"/>
        <v>34</v>
      </c>
      <c r="AD26" s="415">
        <f t="shared" si="7"/>
        <v>0</v>
      </c>
      <c r="AE26" s="415">
        <f t="shared" si="7"/>
        <v>-38.740000000000009</v>
      </c>
      <c r="AF26" s="415">
        <f t="shared" si="7"/>
        <v>-3.9999999999998863</v>
      </c>
      <c r="AG26" s="415">
        <f t="shared" si="7"/>
        <v>0</v>
      </c>
      <c r="AH26" s="110">
        <f>SUM(C26:AG26)</f>
        <v>-129.74000000000012</v>
      </c>
    </row>
    <row r="27" spans="1:40" ht="16.5" thickBot="1" x14ac:dyDescent="0.3">
      <c r="A27" s="414"/>
      <c r="B27" s="183" t="s">
        <v>189</v>
      </c>
      <c r="C27" s="413">
        <f>SUM(C9:C13)-(C19+C21+C23)</f>
        <v>0</v>
      </c>
      <c r="D27" s="413">
        <f t="shared" ref="D27:AG27" si="8">SUM(D9:D13)-(D19+D21+D23)</f>
        <v>0</v>
      </c>
      <c r="E27" s="413">
        <f t="shared" si="8"/>
        <v>0</v>
      </c>
      <c r="F27" s="413">
        <f t="shared" si="8"/>
        <v>61.990000000000236</v>
      </c>
      <c r="G27" s="413">
        <f t="shared" si="8"/>
        <v>0</v>
      </c>
      <c r="H27" s="413">
        <f t="shared" si="8"/>
        <v>5</v>
      </c>
      <c r="I27" s="413">
        <f t="shared" si="8"/>
        <v>0</v>
      </c>
      <c r="J27" s="413">
        <f t="shared" si="8"/>
        <v>0</v>
      </c>
      <c r="K27" s="413">
        <f t="shared" si="8"/>
        <v>0</v>
      </c>
      <c r="L27" s="413">
        <f t="shared" si="8"/>
        <v>0</v>
      </c>
      <c r="M27" s="413">
        <f t="shared" si="8"/>
        <v>90.000000000000227</v>
      </c>
      <c r="N27" s="413">
        <f t="shared" si="8"/>
        <v>0</v>
      </c>
      <c r="O27" s="413">
        <f t="shared" si="8"/>
        <v>0</v>
      </c>
      <c r="P27" s="413">
        <f t="shared" si="8"/>
        <v>0</v>
      </c>
      <c r="Q27" s="413">
        <f t="shared" si="8"/>
        <v>0</v>
      </c>
      <c r="R27" s="413">
        <f t="shared" si="8"/>
        <v>0</v>
      </c>
      <c r="S27" s="413">
        <f t="shared" si="8"/>
        <v>0</v>
      </c>
      <c r="T27" s="413">
        <f t="shared" si="8"/>
        <v>0</v>
      </c>
      <c r="U27" s="413">
        <f t="shared" si="8"/>
        <v>0</v>
      </c>
      <c r="V27" s="413">
        <f t="shared" si="8"/>
        <v>0</v>
      </c>
      <c r="W27" s="413">
        <f t="shared" si="8"/>
        <v>0</v>
      </c>
      <c r="X27" s="413">
        <f t="shared" si="8"/>
        <v>0</v>
      </c>
      <c r="Y27" s="413">
        <f t="shared" si="8"/>
        <v>0</v>
      </c>
      <c r="Z27" s="413">
        <f t="shared" si="8"/>
        <v>0</v>
      </c>
      <c r="AA27" s="413">
        <f t="shared" si="8"/>
        <v>0</v>
      </c>
      <c r="AB27" s="413">
        <f t="shared" si="8"/>
        <v>0</v>
      </c>
      <c r="AC27" s="413">
        <f t="shared" si="8"/>
        <v>0</v>
      </c>
      <c r="AD27" s="413">
        <f t="shared" si="8"/>
        <v>0</v>
      </c>
      <c r="AE27" s="413">
        <f t="shared" si="8"/>
        <v>0</v>
      </c>
      <c r="AF27" s="413">
        <f t="shared" si="8"/>
        <v>0</v>
      </c>
      <c r="AG27" s="413">
        <f t="shared" si="8"/>
        <v>0</v>
      </c>
      <c r="AH27" s="112">
        <f>SUM(C27:AG27)</f>
        <v>156.99000000000046</v>
      </c>
    </row>
    <row r="28" spans="1:40" ht="16.5" thickBot="1" x14ac:dyDescent="0.3">
      <c r="A28" s="445"/>
      <c r="B28" s="445"/>
      <c r="C28" s="446"/>
      <c r="D28" s="446"/>
      <c r="E28" s="446"/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7"/>
    </row>
    <row r="29" spans="1:40" ht="16.5" thickBot="1" x14ac:dyDescent="0.3">
      <c r="A29" s="448" t="s">
        <v>212</v>
      </c>
      <c r="B29" s="449" t="s">
        <v>203</v>
      </c>
      <c r="C29" s="471">
        <v>32.26</v>
      </c>
      <c r="D29" s="471">
        <v>37.770000000000003</v>
      </c>
      <c r="E29" s="471">
        <v>32.630000000000003</v>
      </c>
      <c r="F29" s="471">
        <v>46.56</v>
      </c>
      <c r="G29" s="471">
        <v>43.93</v>
      </c>
      <c r="H29" s="471">
        <v>35.43</v>
      </c>
      <c r="I29" s="471">
        <v>36.18</v>
      </c>
      <c r="J29" s="471">
        <v>42.36</v>
      </c>
      <c r="K29" s="471">
        <v>31.81</v>
      </c>
      <c r="L29" s="471">
        <v>40.6</v>
      </c>
      <c r="M29" s="471">
        <v>55.27</v>
      </c>
      <c r="N29" s="471">
        <v>49.32</v>
      </c>
      <c r="O29" s="471">
        <v>36.21</v>
      </c>
      <c r="P29" s="471">
        <v>47.03</v>
      </c>
      <c r="Q29" s="471">
        <v>46.26</v>
      </c>
      <c r="R29" s="471">
        <v>48.9</v>
      </c>
      <c r="S29" s="471">
        <v>43.76</v>
      </c>
      <c r="T29" s="471">
        <v>51.02</v>
      </c>
      <c r="U29" s="471">
        <v>41.03</v>
      </c>
      <c r="V29" s="471">
        <v>46.47</v>
      </c>
      <c r="W29" s="471">
        <v>50.8</v>
      </c>
      <c r="X29" s="471">
        <v>42.91</v>
      </c>
      <c r="Y29" s="471">
        <v>47.2</v>
      </c>
      <c r="Z29" s="471">
        <v>47.6</v>
      </c>
      <c r="AA29" s="471">
        <v>70.22</v>
      </c>
      <c r="AB29" s="471">
        <v>38.72</v>
      </c>
      <c r="AC29" s="482">
        <v>50.34</v>
      </c>
      <c r="AD29" s="482">
        <v>50.99</v>
      </c>
      <c r="AE29" s="482">
        <v>46.68</v>
      </c>
      <c r="AF29" s="482">
        <v>34.83</v>
      </c>
      <c r="AG29" s="450"/>
      <c r="AH29" s="451">
        <f>SUM(C29:AG29)</f>
        <v>1325.09</v>
      </c>
      <c r="AJ29" s="212" t="s">
        <v>212</v>
      </c>
      <c r="AK29" s="213" t="s">
        <v>205</v>
      </c>
      <c r="AL29" s="272">
        <f>SUM(C29:AB29)</f>
        <v>1142.25</v>
      </c>
      <c r="AM29" s="273">
        <f>SUM(AC29:AG29)</f>
        <v>182.84000000000003</v>
      </c>
    </row>
    <row r="30" spans="1:40" ht="16.5" thickBot="1" x14ac:dyDescent="0.3"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1"/>
    </row>
    <row r="31" spans="1:40" ht="16.5" thickBot="1" x14ac:dyDescent="0.3">
      <c r="A31" s="164"/>
      <c r="B31" s="165" t="s">
        <v>57</v>
      </c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7"/>
      <c r="AJ31" s="505" t="s">
        <v>57</v>
      </c>
      <c r="AK31" s="506"/>
    </row>
    <row r="32" spans="1:40" x14ac:dyDescent="0.25">
      <c r="A32" s="168"/>
      <c r="B32" s="139" t="s">
        <v>75</v>
      </c>
      <c r="C32" s="144">
        <v>173</v>
      </c>
      <c r="D32" s="144">
        <v>180</v>
      </c>
      <c r="E32" s="144">
        <v>197</v>
      </c>
      <c r="F32" s="144">
        <v>209</v>
      </c>
      <c r="G32" s="144">
        <v>224</v>
      </c>
      <c r="H32" s="144">
        <f>'[1]TEMP Summary'!$T$22</f>
        <v>0</v>
      </c>
      <c r="I32" s="144">
        <v>192</v>
      </c>
      <c r="J32" s="144">
        <v>190</v>
      </c>
      <c r="K32" s="144">
        <v>145</v>
      </c>
      <c r="L32" s="144">
        <v>169</v>
      </c>
      <c r="M32" s="144">
        <v>273</v>
      </c>
      <c r="N32" s="144">
        <v>218</v>
      </c>
      <c r="O32" s="144">
        <v>203</v>
      </c>
      <c r="P32" s="144">
        <v>251</v>
      </c>
      <c r="Q32" s="144">
        <v>215</v>
      </c>
      <c r="R32" s="144">
        <v>201</v>
      </c>
      <c r="S32" s="144">
        <v>190</v>
      </c>
      <c r="T32" s="144">
        <v>275</v>
      </c>
      <c r="U32" s="144">
        <v>190</v>
      </c>
      <c r="V32" s="144">
        <v>233</v>
      </c>
      <c r="W32" s="144">
        <v>339</v>
      </c>
      <c r="X32" s="144">
        <v>227</v>
      </c>
      <c r="Y32" s="144">
        <f>'[1]TEMP Summary'!$T$22</f>
        <v>0</v>
      </c>
      <c r="Z32" s="144">
        <v>216</v>
      </c>
      <c r="AA32" s="144">
        <f>308-2</f>
        <v>306</v>
      </c>
      <c r="AB32" s="144">
        <v>219</v>
      </c>
      <c r="AC32" s="144">
        <v>232</v>
      </c>
      <c r="AD32" s="144">
        <v>258</v>
      </c>
      <c r="AE32" s="144">
        <v>195</v>
      </c>
      <c r="AF32" s="144">
        <v>133</v>
      </c>
      <c r="AG32" s="144">
        <f>'[1]TEMP Summary'!$T$22</f>
        <v>0</v>
      </c>
      <c r="AH32" s="412">
        <f t="shared" ref="AH32:AH44" si="9">SUM(C32:AG32)</f>
        <v>6053</v>
      </c>
      <c r="AJ32" s="258">
        <f>AH32+AH39</f>
        <v>10519</v>
      </c>
      <c r="AK32" s="259" t="s">
        <v>75</v>
      </c>
    </row>
    <row r="33" spans="1:37" x14ac:dyDescent="0.25">
      <c r="A33" s="168"/>
      <c r="B33" s="143" t="s">
        <v>74</v>
      </c>
      <c r="C33" s="144">
        <v>63</v>
      </c>
      <c r="D33" s="144">
        <v>65</v>
      </c>
      <c r="E33" s="144">
        <v>60</v>
      </c>
      <c r="F33" s="144">
        <v>67</v>
      </c>
      <c r="G33" s="144">
        <v>78</v>
      </c>
      <c r="H33" s="144">
        <f>'[1]TEMP Summary'!$T$22</f>
        <v>0</v>
      </c>
      <c r="I33" s="144">
        <v>83</v>
      </c>
      <c r="J33" s="144">
        <v>78</v>
      </c>
      <c r="K33" s="144">
        <v>48</v>
      </c>
      <c r="L33" s="144">
        <v>51</v>
      </c>
      <c r="M33" s="144">
        <v>91</v>
      </c>
      <c r="N33" s="144">
        <v>54</v>
      </c>
      <c r="O33" s="144">
        <v>62</v>
      </c>
      <c r="P33" s="144">
        <v>97</v>
      </c>
      <c r="Q33" s="144">
        <v>97</v>
      </c>
      <c r="R33" s="144">
        <v>69</v>
      </c>
      <c r="S33" s="144">
        <v>54</v>
      </c>
      <c r="T33" s="144">
        <v>91</v>
      </c>
      <c r="U33" s="144">
        <f>'[1]TEMP Summary'!$T$22</f>
        <v>0</v>
      </c>
      <c r="V33" s="144">
        <v>0</v>
      </c>
      <c r="W33" s="144">
        <v>140</v>
      </c>
      <c r="X33" s="144">
        <v>99</v>
      </c>
      <c r="Y33" s="144">
        <f>'[1]TEMP Summary'!$T$22</f>
        <v>0</v>
      </c>
      <c r="Z33" s="144">
        <v>99</v>
      </c>
      <c r="AA33" s="144">
        <v>89</v>
      </c>
      <c r="AB33" s="144">
        <f>'[1]TEMP Summary'!$T$22</f>
        <v>0</v>
      </c>
      <c r="AC33" s="144">
        <v>104</v>
      </c>
      <c r="AD33" s="144">
        <v>97</v>
      </c>
      <c r="AE33" s="144">
        <v>100</v>
      </c>
      <c r="AF33" s="144">
        <v>63</v>
      </c>
      <c r="AG33" s="144">
        <f>'[1]TEMP Summary'!$T$22</f>
        <v>0</v>
      </c>
      <c r="AH33" s="411">
        <f t="shared" si="9"/>
        <v>1999</v>
      </c>
      <c r="AJ33" s="258">
        <f t="shared" ref="AJ33:AJ37" si="10">AH33+AH40</f>
        <v>3730</v>
      </c>
      <c r="AK33" s="259" t="s">
        <v>74</v>
      </c>
    </row>
    <row r="34" spans="1:37" x14ac:dyDescent="0.25">
      <c r="A34" s="168"/>
      <c r="B34" s="143" t="s">
        <v>209</v>
      </c>
      <c r="C34" s="144">
        <f>'[1]TEMP Summary'!$T$22</f>
        <v>0</v>
      </c>
      <c r="D34" s="144">
        <f>'[1]TEMP Summary'!$T$22</f>
        <v>0</v>
      </c>
      <c r="E34" s="144">
        <f>'[1]TEMP Summary'!$T$22</f>
        <v>0</v>
      </c>
      <c r="F34" s="144">
        <f>'[1]TEMP Summary'!$T$22</f>
        <v>0</v>
      </c>
      <c r="G34" s="144">
        <v>15</v>
      </c>
      <c r="H34" s="144">
        <f>'[1]TEMP Summary'!$T$22</f>
        <v>0</v>
      </c>
      <c r="I34" s="144">
        <f>'[1]TEMP Summary'!$T$22</f>
        <v>0</v>
      </c>
      <c r="J34" s="144">
        <f>'[1]TEMP Summary'!$T$22</f>
        <v>0</v>
      </c>
      <c r="K34" s="144">
        <f>'[1]TEMP Summary'!$T$22</f>
        <v>0</v>
      </c>
      <c r="L34" s="144">
        <v>1</v>
      </c>
      <c r="M34" s="144">
        <v>0</v>
      </c>
      <c r="N34" s="144">
        <v>5</v>
      </c>
      <c r="O34" s="144">
        <v>7</v>
      </c>
      <c r="P34" s="144">
        <v>0</v>
      </c>
      <c r="Q34" s="144">
        <v>6</v>
      </c>
      <c r="R34" s="144">
        <v>7</v>
      </c>
      <c r="S34" s="144">
        <f>'[1]TEMP Summary'!$T$22</f>
        <v>0</v>
      </c>
      <c r="T34" s="144">
        <f>'[1]TEMP Summary'!$T$22</f>
        <v>0</v>
      </c>
      <c r="U34" s="144">
        <f>'[1]TEMP Summary'!$T$22</f>
        <v>0</v>
      </c>
      <c r="V34" s="144">
        <f>'[1]TEMP Summary'!$T$22</f>
        <v>0</v>
      </c>
      <c r="W34" s="144">
        <f>'[1]TEMP Summary'!$T$22</f>
        <v>0</v>
      </c>
      <c r="X34" s="144">
        <v>7</v>
      </c>
      <c r="Y34" s="144">
        <f>'[1]TEMP Summary'!$T$22</f>
        <v>0</v>
      </c>
      <c r="Z34" s="144">
        <v>6</v>
      </c>
      <c r="AA34" s="144">
        <f>'[1]TEMP Summary'!$T$22</f>
        <v>0</v>
      </c>
      <c r="AB34" s="144">
        <f>'[1]TEMP Summary'!$T$22</f>
        <v>0</v>
      </c>
      <c r="AC34" s="144">
        <v>5</v>
      </c>
      <c r="AD34" s="144">
        <v>4</v>
      </c>
      <c r="AE34" s="144">
        <v>2</v>
      </c>
      <c r="AF34" s="144">
        <v>7</v>
      </c>
      <c r="AG34" s="144">
        <f>'[1]TEMP Summary'!$T$22</f>
        <v>0</v>
      </c>
      <c r="AH34" s="411">
        <f t="shared" si="9"/>
        <v>72</v>
      </c>
      <c r="AJ34" s="258">
        <f t="shared" si="10"/>
        <v>195</v>
      </c>
      <c r="AK34" s="259" t="s">
        <v>209</v>
      </c>
    </row>
    <row r="35" spans="1:37" x14ac:dyDescent="0.25">
      <c r="A35" s="168"/>
      <c r="B35" s="143" t="s">
        <v>72</v>
      </c>
      <c r="C35" s="144">
        <f>'[1]TEMP Summary'!$T$22</f>
        <v>0</v>
      </c>
      <c r="D35" s="144">
        <f>'[1]TEMP Summary'!$T$22</f>
        <v>0</v>
      </c>
      <c r="E35" s="144">
        <v>16</v>
      </c>
      <c r="F35" s="144">
        <v>24</v>
      </c>
      <c r="G35" s="144">
        <v>16</v>
      </c>
      <c r="H35" s="144">
        <f>'[1]TEMP Summary'!$T$22</f>
        <v>0</v>
      </c>
      <c r="I35" s="144">
        <f>'[1]TEMP Summary'!$T$22</f>
        <v>0</v>
      </c>
      <c r="J35" s="144">
        <f>'[1]TEMP Summary'!$T$22</f>
        <v>0</v>
      </c>
      <c r="K35" s="144">
        <f>'[1]TEMP Summary'!$T$22</f>
        <v>0</v>
      </c>
      <c r="L35" s="144">
        <v>24</v>
      </c>
      <c r="M35" s="144">
        <v>0</v>
      </c>
      <c r="N35" s="144">
        <f>'[1]TEMP Summary'!$T$22</f>
        <v>0</v>
      </c>
      <c r="O35" s="144">
        <f>'[1]TEMP Summary'!$T$22</f>
        <v>0</v>
      </c>
      <c r="P35" s="144">
        <f>'[1]TEMP Summary'!$T$22</f>
        <v>0</v>
      </c>
      <c r="Q35" s="144">
        <v>15</v>
      </c>
      <c r="R35" s="144">
        <f>'[1]TEMP Summary'!$T$22</f>
        <v>0</v>
      </c>
      <c r="S35" s="144">
        <f>'[1]TEMP Summary'!$T$22</f>
        <v>0</v>
      </c>
      <c r="T35" s="144">
        <v>17</v>
      </c>
      <c r="U35" s="144">
        <f>'[1]TEMP Summary'!$T$22</f>
        <v>0</v>
      </c>
      <c r="V35" s="144">
        <f>'[1]TEMP Summary'!$T$22</f>
        <v>0</v>
      </c>
      <c r="W35" s="144">
        <v>16</v>
      </c>
      <c r="X35" s="144">
        <f>'[1]TEMP Summary'!$T$22</f>
        <v>0</v>
      </c>
      <c r="Y35" s="144">
        <f>'[1]TEMP Summary'!$T$22</f>
        <v>0</v>
      </c>
      <c r="Z35" s="144">
        <f>'[1]TEMP Summary'!$T$22</f>
        <v>0</v>
      </c>
      <c r="AA35" s="144">
        <f>'[1]TEMP Summary'!$T$22</f>
        <v>0</v>
      </c>
      <c r="AB35" s="144">
        <v>16</v>
      </c>
      <c r="AC35" s="144">
        <v>20</v>
      </c>
      <c r="AD35" s="144">
        <v>15</v>
      </c>
      <c r="AE35" s="144">
        <v>31</v>
      </c>
      <c r="AF35" s="144">
        <f>'[1]TEMP Summary'!$T$22</f>
        <v>0</v>
      </c>
      <c r="AG35" s="144">
        <f>'[1]TEMP Summary'!$T$22</f>
        <v>0</v>
      </c>
      <c r="AH35" s="411">
        <f t="shared" si="9"/>
        <v>210</v>
      </c>
      <c r="AJ35" s="258">
        <f t="shared" si="10"/>
        <v>245</v>
      </c>
      <c r="AK35" s="259" t="s">
        <v>72</v>
      </c>
    </row>
    <row r="36" spans="1:37" x14ac:dyDescent="0.25">
      <c r="A36" s="168"/>
      <c r="B36" s="143" t="s">
        <v>73</v>
      </c>
      <c r="C36" s="144">
        <v>47</v>
      </c>
      <c r="D36" s="144">
        <v>48</v>
      </c>
      <c r="E36" s="144">
        <v>43</v>
      </c>
      <c r="F36" s="144">
        <v>53</v>
      </c>
      <c r="G36" s="144">
        <v>38</v>
      </c>
      <c r="H36" s="144">
        <f>'[1]TEMP Summary'!$T$22</f>
        <v>0</v>
      </c>
      <c r="I36" s="144">
        <v>45</v>
      </c>
      <c r="J36" s="144">
        <v>57</v>
      </c>
      <c r="K36" s="144">
        <v>44</v>
      </c>
      <c r="L36" s="144">
        <v>33</v>
      </c>
      <c r="M36" s="144">
        <v>68</v>
      </c>
      <c r="N36" s="144">
        <v>46</v>
      </c>
      <c r="O36" s="144">
        <v>45</v>
      </c>
      <c r="P36" s="144">
        <v>75</v>
      </c>
      <c r="Q36" s="144">
        <v>51</v>
      </c>
      <c r="R36" s="144">
        <v>40</v>
      </c>
      <c r="S36" s="144">
        <v>31</v>
      </c>
      <c r="T36" s="144">
        <v>56</v>
      </c>
      <c r="U36" s="144">
        <v>30</v>
      </c>
      <c r="V36" s="144">
        <v>48</v>
      </c>
      <c r="W36" s="144">
        <f>101-3</f>
        <v>98</v>
      </c>
      <c r="X36" s="144">
        <v>36</v>
      </c>
      <c r="Y36" s="144">
        <f>'[1]TEMP Summary'!$T$22</f>
        <v>0</v>
      </c>
      <c r="Z36" s="144">
        <v>49</v>
      </c>
      <c r="AA36" s="144">
        <v>61</v>
      </c>
      <c r="AB36" s="144">
        <v>22</v>
      </c>
      <c r="AC36" s="144">
        <v>45</v>
      </c>
      <c r="AD36" s="144">
        <v>56</v>
      </c>
      <c r="AE36" s="144">
        <v>57</v>
      </c>
      <c r="AF36" s="144">
        <v>26</v>
      </c>
      <c r="AG36" s="144">
        <f>'[1]TEMP Summary'!$T$22</f>
        <v>0</v>
      </c>
      <c r="AH36" s="411">
        <f t="shared" si="9"/>
        <v>1348</v>
      </c>
      <c r="AJ36" s="258">
        <f t="shared" si="10"/>
        <v>2138</v>
      </c>
      <c r="AK36" s="259" t="s">
        <v>73</v>
      </c>
    </row>
    <row r="37" spans="1:37" x14ac:dyDescent="0.25">
      <c r="A37" s="168"/>
      <c r="B37" s="143" t="s">
        <v>71</v>
      </c>
      <c r="C37" s="144">
        <v>6</v>
      </c>
      <c r="D37" s="144">
        <v>7</v>
      </c>
      <c r="E37" s="144">
        <v>3</v>
      </c>
      <c r="F37" s="144">
        <v>4</v>
      </c>
      <c r="G37" s="144">
        <v>6</v>
      </c>
      <c r="H37" s="144">
        <f>'[1]TEMP Summary'!$T$22</f>
        <v>0</v>
      </c>
      <c r="I37" s="144">
        <v>8</v>
      </c>
      <c r="J37" s="144">
        <v>5</v>
      </c>
      <c r="K37" s="144">
        <v>2</v>
      </c>
      <c r="L37" s="144">
        <v>7</v>
      </c>
      <c r="M37" s="144">
        <v>7</v>
      </c>
      <c r="N37" s="144">
        <v>14</v>
      </c>
      <c r="O37" s="144">
        <v>6</v>
      </c>
      <c r="P37" s="144">
        <v>7</v>
      </c>
      <c r="Q37" s="144">
        <v>11</v>
      </c>
      <c r="R37" s="144">
        <v>5</v>
      </c>
      <c r="S37" s="144">
        <v>8</v>
      </c>
      <c r="T37" s="144">
        <v>1</v>
      </c>
      <c r="U37" s="144">
        <f>'[1]TEMP Summary'!$T$22</f>
        <v>0</v>
      </c>
      <c r="V37" s="144">
        <f>'[1]TEMP Summary'!$T$22</f>
        <v>0</v>
      </c>
      <c r="W37" s="144">
        <v>18</v>
      </c>
      <c r="X37" s="144">
        <v>5</v>
      </c>
      <c r="Y37" s="144">
        <f>'[1]TEMP Summary'!$T$22</f>
        <v>0</v>
      </c>
      <c r="Z37" s="144">
        <v>9</v>
      </c>
      <c r="AA37" s="144">
        <v>14</v>
      </c>
      <c r="AB37" s="144">
        <f>'[1]TEMP Summary'!$T$22</f>
        <v>0</v>
      </c>
      <c r="AC37" s="144">
        <v>7</v>
      </c>
      <c r="AD37" s="144">
        <v>4</v>
      </c>
      <c r="AE37" s="144">
        <v>5</v>
      </c>
      <c r="AF37" s="144">
        <v>10</v>
      </c>
      <c r="AG37" s="144">
        <f>'[1]TEMP Summary'!$T$22</f>
        <v>0</v>
      </c>
      <c r="AH37" s="411">
        <f t="shared" si="9"/>
        <v>179</v>
      </c>
      <c r="AJ37" s="258">
        <f t="shared" si="10"/>
        <v>338</v>
      </c>
      <c r="AK37" s="259" t="s">
        <v>71</v>
      </c>
    </row>
    <row r="38" spans="1:37" ht="15.75" thickBot="1" x14ac:dyDescent="0.3">
      <c r="A38" s="168"/>
      <c r="B38" s="440" t="s">
        <v>188</v>
      </c>
      <c r="C38" s="441">
        <f t="shared" ref="C38:AG38" si="11">SUM(C32:C37)</f>
        <v>289</v>
      </c>
      <c r="D38" s="442">
        <f t="shared" si="11"/>
        <v>300</v>
      </c>
      <c r="E38" s="442">
        <f t="shared" si="11"/>
        <v>319</v>
      </c>
      <c r="F38" s="442">
        <f t="shared" si="11"/>
        <v>357</v>
      </c>
      <c r="G38" s="442">
        <f t="shared" si="11"/>
        <v>377</v>
      </c>
      <c r="H38" s="442">
        <f t="shared" si="11"/>
        <v>0</v>
      </c>
      <c r="I38" s="442">
        <f t="shared" si="11"/>
        <v>328</v>
      </c>
      <c r="J38" s="442">
        <f t="shared" si="11"/>
        <v>330</v>
      </c>
      <c r="K38" s="442">
        <f t="shared" si="11"/>
        <v>239</v>
      </c>
      <c r="L38" s="442">
        <f t="shared" si="11"/>
        <v>285</v>
      </c>
      <c r="M38" s="442">
        <f t="shared" si="11"/>
        <v>439</v>
      </c>
      <c r="N38" s="442">
        <f t="shared" si="11"/>
        <v>337</v>
      </c>
      <c r="O38" s="442">
        <f t="shared" si="11"/>
        <v>323</v>
      </c>
      <c r="P38" s="442">
        <f t="shared" si="11"/>
        <v>430</v>
      </c>
      <c r="Q38" s="442">
        <f t="shared" si="11"/>
        <v>395</v>
      </c>
      <c r="R38" s="442">
        <f t="shared" si="11"/>
        <v>322</v>
      </c>
      <c r="S38" s="442">
        <f t="shared" si="11"/>
        <v>283</v>
      </c>
      <c r="T38" s="442">
        <f t="shared" si="11"/>
        <v>440</v>
      </c>
      <c r="U38" s="442">
        <f t="shared" si="11"/>
        <v>220</v>
      </c>
      <c r="V38" s="442">
        <f t="shared" si="11"/>
        <v>281</v>
      </c>
      <c r="W38" s="442">
        <f t="shared" si="11"/>
        <v>611</v>
      </c>
      <c r="X38" s="442">
        <f t="shared" si="11"/>
        <v>374</v>
      </c>
      <c r="Y38" s="442">
        <f t="shared" si="11"/>
        <v>0</v>
      </c>
      <c r="Z38" s="442">
        <f t="shared" si="11"/>
        <v>379</v>
      </c>
      <c r="AA38" s="442">
        <f t="shared" si="11"/>
        <v>470</v>
      </c>
      <c r="AB38" s="442">
        <f t="shared" si="11"/>
        <v>257</v>
      </c>
      <c r="AC38" s="442">
        <f t="shared" si="11"/>
        <v>413</v>
      </c>
      <c r="AD38" s="442">
        <f t="shared" si="11"/>
        <v>434</v>
      </c>
      <c r="AE38" s="442">
        <f t="shared" si="11"/>
        <v>390</v>
      </c>
      <c r="AF38" s="442">
        <f t="shared" si="11"/>
        <v>239</v>
      </c>
      <c r="AG38" s="443">
        <f t="shared" si="11"/>
        <v>0</v>
      </c>
      <c r="AH38" s="410">
        <f>SUM(C38:AG38)</f>
        <v>9861</v>
      </c>
      <c r="AJ38" s="258"/>
      <c r="AK38" s="259"/>
    </row>
    <row r="39" spans="1:37" x14ac:dyDescent="0.25">
      <c r="A39" s="168"/>
      <c r="B39" s="409" t="s">
        <v>75</v>
      </c>
      <c r="C39" s="140">
        <f>276-173</f>
        <v>103</v>
      </c>
      <c r="D39" s="140">
        <f>282-180</f>
        <v>102</v>
      </c>
      <c r="E39" s="140">
        <f>313-197</f>
        <v>116</v>
      </c>
      <c r="F39" s="140">
        <f>384-209</f>
        <v>175</v>
      </c>
      <c r="G39" s="140">
        <f>342-224</f>
        <v>118</v>
      </c>
      <c r="H39" s="140">
        <v>300</v>
      </c>
      <c r="I39" s="140">
        <f>285-I32</f>
        <v>93</v>
      </c>
      <c r="J39" s="140">
        <f>335-J32</f>
        <v>145</v>
      </c>
      <c r="K39" s="140">
        <f>257-K32</f>
        <v>112</v>
      </c>
      <c r="L39" s="140">
        <f>289-L32</f>
        <v>120</v>
      </c>
      <c r="M39" s="140">
        <f>481-M32</f>
        <v>208</v>
      </c>
      <c r="N39" s="140">
        <f>379-N32</f>
        <v>161</v>
      </c>
      <c r="O39" s="140">
        <f>303-O32</f>
        <v>100</v>
      </c>
      <c r="P39" s="140">
        <f>381-P32</f>
        <v>130</v>
      </c>
      <c r="Q39" s="140">
        <f>375-Q32</f>
        <v>160</v>
      </c>
      <c r="R39" s="140">
        <f>345-R32</f>
        <v>144</v>
      </c>
      <c r="S39" s="140">
        <f>337-S32</f>
        <v>147</v>
      </c>
      <c r="T39" s="140">
        <f>402-T32</f>
        <v>127</v>
      </c>
      <c r="U39" s="140">
        <f>359-U32</f>
        <v>169</v>
      </c>
      <c r="V39" s="140">
        <f>383-V32</f>
        <v>150</v>
      </c>
      <c r="W39" s="140">
        <f>355-W32</f>
        <v>16</v>
      </c>
      <c r="X39" s="140">
        <f>360-X32</f>
        <v>133</v>
      </c>
      <c r="Y39" s="140">
        <v>347</v>
      </c>
      <c r="Z39" s="140">
        <f>346-Z32</f>
        <v>130</v>
      </c>
      <c r="AA39" s="140">
        <f>535-AA32</f>
        <v>229</v>
      </c>
      <c r="AB39" s="140">
        <f>315-AB32</f>
        <v>96</v>
      </c>
      <c r="AC39" s="140">
        <f>402-AC32</f>
        <v>170</v>
      </c>
      <c r="AD39" s="140">
        <f>405-AD32</f>
        <v>147</v>
      </c>
      <c r="AE39" s="140">
        <f>363-AE32</f>
        <v>168</v>
      </c>
      <c r="AF39" s="141">
        <f>283-AF32</f>
        <v>150</v>
      </c>
      <c r="AG39" s="474">
        <f>'[1]TEMP Summary'!$T$22</f>
        <v>0</v>
      </c>
      <c r="AH39" s="142">
        <f t="shared" si="9"/>
        <v>4466</v>
      </c>
      <c r="AJ39" s="258"/>
      <c r="AK39" s="259"/>
    </row>
    <row r="40" spans="1:37" x14ac:dyDescent="0.25">
      <c r="A40" s="168"/>
      <c r="B40" s="143" t="s">
        <v>74</v>
      </c>
      <c r="C40" s="144">
        <f>92-63</f>
        <v>29</v>
      </c>
      <c r="D40" s="144">
        <f>100-65</f>
        <v>35</v>
      </c>
      <c r="E40" s="144">
        <f>84-60</f>
        <v>24</v>
      </c>
      <c r="F40" s="144">
        <f>106-67</f>
        <v>39</v>
      </c>
      <c r="G40" s="144">
        <f>109-78</f>
        <v>31</v>
      </c>
      <c r="H40" s="144">
        <v>95</v>
      </c>
      <c r="I40" s="144">
        <f>124-I33</f>
        <v>41</v>
      </c>
      <c r="J40" s="144">
        <f>129-J33</f>
        <v>51</v>
      </c>
      <c r="K40" s="144">
        <f>82-K33</f>
        <v>34</v>
      </c>
      <c r="L40" s="144">
        <f>76-L33</f>
        <v>25</v>
      </c>
      <c r="M40" s="144">
        <f>141-M33</f>
        <v>50</v>
      </c>
      <c r="N40" s="144">
        <f>109-N33</f>
        <v>55</v>
      </c>
      <c r="O40" s="144">
        <f>111-O33</f>
        <v>49</v>
      </c>
      <c r="P40" s="144">
        <f>155-P33</f>
        <v>58</v>
      </c>
      <c r="Q40" s="144">
        <f>164-Q33</f>
        <v>67</v>
      </c>
      <c r="R40" s="144">
        <f>148-R33</f>
        <v>79</v>
      </c>
      <c r="S40" s="144">
        <f>87-S33</f>
        <v>33</v>
      </c>
      <c r="T40" s="144">
        <f>130-T33</f>
        <v>39</v>
      </c>
      <c r="U40" s="144">
        <v>112</v>
      </c>
      <c r="V40" s="144">
        <f>108-V33</f>
        <v>108</v>
      </c>
      <c r="W40" s="144">
        <f>153-W33</f>
        <v>13</v>
      </c>
      <c r="X40" s="144">
        <f>140-X33</f>
        <v>41</v>
      </c>
      <c r="Y40" s="144">
        <v>134</v>
      </c>
      <c r="Z40" s="144">
        <f>176-Z33</f>
        <v>77</v>
      </c>
      <c r="AA40" s="144">
        <f>168-AA33</f>
        <v>79</v>
      </c>
      <c r="AB40" s="144">
        <v>109</v>
      </c>
      <c r="AC40" s="144">
        <f>178-AC33</f>
        <v>74</v>
      </c>
      <c r="AD40" s="144">
        <f>138-AD33</f>
        <v>41</v>
      </c>
      <c r="AE40" s="144">
        <f>154-AE33</f>
        <v>54</v>
      </c>
      <c r="AF40" s="145">
        <f>118-AF33</f>
        <v>55</v>
      </c>
      <c r="AG40" s="475">
        <f>'[1]TEMP Summary'!$T$22</f>
        <v>0</v>
      </c>
      <c r="AH40" s="142">
        <f t="shared" si="9"/>
        <v>1731</v>
      </c>
      <c r="AJ40" s="258"/>
      <c r="AK40" s="259"/>
    </row>
    <row r="41" spans="1:37" x14ac:dyDescent="0.25">
      <c r="A41" s="168"/>
      <c r="B41" s="143" t="s">
        <v>209</v>
      </c>
      <c r="C41" s="144">
        <v>8</v>
      </c>
      <c r="D41" s="144">
        <v>6</v>
      </c>
      <c r="E41" s="144">
        <v>3</v>
      </c>
      <c r="F41" s="144">
        <f>'[1]TEMP Summary'!$T$22</f>
        <v>0</v>
      </c>
      <c r="G41" s="144">
        <f>19-15</f>
        <v>4</v>
      </c>
      <c r="H41" s="144">
        <v>10</v>
      </c>
      <c r="I41" s="144">
        <f>'[1]TEMP Summary'!$T$22</f>
        <v>0</v>
      </c>
      <c r="J41" s="144">
        <f>5-J34</f>
        <v>5</v>
      </c>
      <c r="K41" s="144">
        <f>3-K34</f>
        <v>3</v>
      </c>
      <c r="L41" s="144">
        <f>4-L34</f>
        <v>3</v>
      </c>
      <c r="M41" s="144">
        <f>'[1]TEMP Summary'!$T$22</f>
        <v>0</v>
      </c>
      <c r="N41" s="144">
        <f>7-N34</f>
        <v>2</v>
      </c>
      <c r="O41" s="144">
        <f>7-O34</f>
        <v>0</v>
      </c>
      <c r="P41" s="144">
        <f>'[1]TEMP Summary'!$T$22</f>
        <v>0</v>
      </c>
      <c r="Q41" s="144">
        <f>10-Q34</f>
        <v>4</v>
      </c>
      <c r="R41" s="144">
        <f>8-R34</f>
        <v>1</v>
      </c>
      <c r="S41" s="144">
        <v>2</v>
      </c>
      <c r="T41" s="144">
        <f>'[1]TEMP Summary'!$T$22</f>
        <v>0</v>
      </c>
      <c r="U41" s="144">
        <v>11</v>
      </c>
      <c r="V41" s="144">
        <v>11</v>
      </c>
      <c r="W41" s="144">
        <v>1</v>
      </c>
      <c r="X41" s="144">
        <f>12-X34</f>
        <v>5</v>
      </c>
      <c r="Y41" s="144">
        <v>15</v>
      </c>
      <c r="Z41" s="144">
        <f>11-Z34</f>
        <v>5</v>
      </c>
      <c r="AA41" s="144">
        <f>'[1]TEMP Summary'!$T$22</f>
        <v>0</v>
      </c>
      <c r="AB41" s="144">
        <v>11</v>
      </c>
      <c r="AC41" s="144">
        <f>6-AC34</f>
        <v>1</v>
      </c>
      <c r="AD41" s="144">
        <f>7-AD34</f>
        <v>3</v>
      </c>
      <c r="AE41" s="144">
        <f>8-AE34</f>
        <v>6</v>
      </c>
      <c r="AF41" s="145">
        <f>10-AF34</f>
        <v>3</v>
      </c>
      <c r="AG41" s="475">
        <f>'[1]TEMP Summary'!$T$22</f>
        <v>0</v>
      </c>
      <c r="AH41" s="142">
        <f t="shared" si="9"/>
        <v>123</v>
      </c>
      <c r="AJ41" s="258"/>
      <c r="AK41" s="259"/>
    </row>
    <row r="42" spans="1:37" x14ac:dyDescent="0.25">
      <c r="A42" s="168"/>
      <c r="B42" s="143" t="s">
        <v>72</v>
      </c>
      <c r="C42" s="144">
        <f>'[1]TEMP Summary'!$T$22</f>
        <v>0</v>
      </c>
      <c r="D42" s="144">
        <v>15</v>
      </c>
      <c r="E42" s="144">
        <f>'[1]TEMP Summary'!$T$22</f>
        <v>0</v>
      </c>
      <c r="F42" s="144">
        <f>'[1]TEMP Summary'!$T$22</f>
        <v>0</v>
      </c>
      <c r="G42" s="144">
        <f>'[1]TEMP Summary'!$T$22</f>
        <v>0</v>
      </c>
      <c r="H42" s="144">
        <f>'[1]TEMP Summary'!$T$22</f>
        <v>0</v>
      </c>
      <c r="I42" s="144">
        <f>'[1]TEMP Summary'!$T$22</f>
        <v>0</v>
      </c>
      <c r="J42" s="144">
        <f>'[1]TEMP Summary'!$T$22</f>
        <v>0</v>
      </c>
      <c r="K42" s="144">
        <f>'[1]TEMP Summary'!$T$22</f>
        <v>0</v>
      </c>
      <c r="L42" s="144">
        <v>0</v>
      </c>
      <c r="M42" s="144">
        <f>'[1]TEMP Summary'!$T$22</f>
        <v>0</v>
      </c>
      <c r="N42" s="144">
        <f>'[1]TEMP Summary'!$T$22</f>
        <v>0</v>
      </c>
      <c r="O42" s="144">
        <f>'[1]TEMP Summary'!$T$22</f>
        <v>0</v>
      </c>
      <c r="P42" s="144">
        <f>'[1]TEMP Summary'!$T$22</f>
        <v>0</v>
      </c>
      <c r="Q42" s="144">
        <f>'[1]TEMP Summary'!$T$22</f>
        <v>0</v>
      </c>
      <c r="R42" s="144">
        <f>'[1]TEMP Summary'!$T$22</f>
        <v>0</v>
      </c>
      <c r="S42" s="144">
        <f>'[1]TEMP Summary'!$T$22</f>
        <v>0</v>
      </c>
      <c r="T42" s="144">
        <f>'[1]TEMP Summary'!$T$22</f>
        <v>0</v>
      </c>
      <c r="U42" s="144">
        <f>'[1]TEMP Summary'!$T$22</f>
        <v>0</v>
      </c>
      <c r="V42" s="144">
        <f>'[1]TEMP Summary'!$T$22</f>
        <v>0</v>
      </c>
      <c r="W42" s="144">
        <f>'[1]TEMP Summary'!$T$22</f>
        <v>0</v>
      </c>
      <c r="X42" s="144">
        <f>'[1]TEMP Summary'!$T$22</f>
        <v>0</v>
      </c>
      <c r="Y42" s="144">
        <f>'[1]TEMP Summary'!$T$22</f>
        <v>0</v>
      </c>
      <c r="Z42" s="144">
        <f>'[1]TEMP Summary'!$T$22</f>
        <v>0</v>
      </c>
      <c r="AA42" s="144">
        <f>'[1]TEMP Summary'!$T$22</f>
        <v>0</v>
      </c>
      <c r="AB42" s="144">
        <f>'[1]TEMP Summary'!$T$22</f>
        <v>0</v>
      </c>
      <c r="AC42" s="144">
        <v>0</v>
      </c>
      <c r="AD42" s="144">
        <f>'[1]TEMP Summary'!$T$22</f>
        <v>0</v>
      </c>
      <c r="AE42" s="144">
        <f>'[1]TEMP Summary'!$T$22</f>
        <v>0</v>
      </c>
      <c r="AF42" s="145">
        <v>20</v>
      </c>
      <c r="AG42" s="475">
        <f>'[1]TEMP Summary'!$T$22</f>
        <v>0</v>
      </c>
      <c r="AH42" s="142">
        <f t="shared" si="9"/>
        <v>35</v>
      </c>
      <c r="AJ42" s="258"/>
      <c r="AK42" s="259"/>
    </row>
    <row r="43" spans="1:37" x14ac:dyDescent="0.25">
      <c r="A43" s="168"/>
      <c r="B43" s="143" t="s">
        <v>73</v>
      </c>
      <c r="C43" s="144">
        <f>83-47</f>
        <v>36</v>
      </c>
      <c r="D43" s="144">
        <f>76-48</f>
        <v>28</v>
      </c>
      <c r="E43" s="144">
        <f>75-43</f>
        <v>32</v>
      </c>
      <c r="F43" s="144">
        <f>88-53</f>
        <v>35</v>
      </c>
      <c r="G43" s="144">
        <f>59-38</f>
        <v>21</v>
      </c>
      <c r="H43" s="144">
        <v>81</v>
      </c>
      <c r="I43" s="144">
        <f>73-I36</f>
        <v>28</v>
      </c>
      <c r="J43" s="144">
        <f>81-J36</f>
        <v>24</v>
      </c>
      <c r="K43" s="144">
        <f>61-K36</f>
        <v>17</v>
      </c>
      <c r="L43" s="144">
        <f>55-L36</f>
        <v>22</v>
      </c>
      <c r="M43" s="144">
        <f>86-M36</f>
        <v>18</v>
      </c>
      <c r="N43" s="144">
        <f>71-N36</f>
        <v>25</v>
      </c>
      <c r="O43" s="144">
        <f>65-O36</f>
        <v>20</v>
      </c>
      <c r="P43" s="144">
        <f>104-P36</f>
        <v>29</v>
      </c>
      <c r="Q43" s="144">
        <f>78-Q36</f>
        <v>27</v>
      </c>
      <c r="R43" s="144">
        <f>73-R36</f>
        <v>33</v>
      </c>
      <c r="S43" s="144">
        <f>51-S36</f>
        <v>20</v>
      </c>
      <c r="T43" s="144">
        <f>69-T36</f>
        <v>13</v>
      </c>
      <c r="U43" s="144">
        <f>50-U36</f>
        <v>20</v>
      </c>
      <c r="V43" s="144">
        <f>69-V36</f>
        <v>21</v>
      </c>
      <c r="W43" s="144">
        <f>103-W36</f>
        <v>5</v>
      </c>
      <c r="X43" s="144">
        <f>58-X36</f>
        <v>22</v>
      </c>
      <c r="Y43" s="144">
        <v>69</v>
      </c>
      <c r="Z43" s="144">
        <f>83-Z36</f>
        <v>34</v>
      </c>
      <c r="AA43" s="144">
        <f>88-AA36</f>
        <v>27</v>
      </c>
      <c r="AB43" s="144">
        <f>30-AB36</f>
        <v>8</v>
      </c>
      <c r="AC43" s="144">
        <f>60-AC36</f>
        <v>15</v>
      </c>
      <c r="AD43" s="144">
        <f>75-AD36</f>
        <v>19</v>
      </c>
      <c r="AE43" s="144">
        <f>80-AE36</f>
        <v>23</v>
      </c>
      <c r="AF43" s="145">
        <f>44-AF36</f>
        <v>18</v>
      </c>
      <c r="AG43" s="475">
        <f>'[1]TEMP Summary'!$T$22</f>
        <v>0</v>
      </c>
      <c r="AH43" s="142">
        <f t="shared" si="9"/>
        <v>790</v>
      </c>
      <c r="AJ43" s="258"/>
      <c r="AK43" s="259"/>
    </row>
    <row r="44" spans="1:37" x14ac:dyDescent="0.25">
      <c r="A44" s="168"/>
      <c r="B44" s="143" t="s">
        <v>71</v>
      </c>
      <c r="C44" s="144">
        <f>19-6</f>
        <v>13</v>
      </c>
      <c r="D44" s="144">
        <f>9-7</f>
        <v>2</v>
      </c>
      <c r="E44" s="144">
        <f>7-3</f>
        <v>4</v>
      </c>
      <c r="F44" s="144">
        <f>8-4</f>
        <v>4</v>
      </c>
      <c r="G44" s="144">
        <f>11-6</f>
        <v>5</v>
      </c>
      <c r="H44" s="144">
        <v>4</v>
      </c>
      <c r="I44" s="144">
        <f>13-I37</f>
        <v>5</v>
      </c>
      <c r="J44" s="144">
        <f>11-J37</f>
        <v>6</v>
      </c>
      <c r="K44" s="144">
        <f>10-K37</f>
        <v>8</v>
      </c>
      <c r="L44" s="144">
        <f>21-L37</f>
        <v>14</v>
      </c>
      <c r="M44" s="144">
        <f>11-M37</f>
        <v>4</v>
      </c>
      <c r="N44" s="144">
        <f>15-N37</f>
        <v>1</v>
      </c>
      <c r="O44" s="144">
        <f>9-O37</f>
        <v>3</v>
      </c>
      <c r="P44" s="144">
        <f>11-P37</f>
        <v>4</v>
      </c>
      <c r="Q44" s="144">
        <f>14-Q37</f>
        <v>3</v>
      </c>
      <c r="R44" s="144">
        <f>15-R37</f>
        <v>10</v>
      </c>
      <c r="S44" s="144">
        <f>14-S37</f>
        <v>6</v>
      </c>
      <c r="T44" s="144">
        <f>2-T37</f>
        <v>1</v>
      </c>
      <c r="U44" s="144">
        <f>9</f>
        <v>9</v>
      </c>
      <c r="V44" s="144">
        <v>6</v>
      </c>
      <c r="W44" s="144">
        <f>19-W37</f>
        <v>1</v>
      </c>
      <c r="X44" s="144">
        <f>10-X37</f>
        <v>5</v>
      </c>
      <c r="Y44" s="144">
        <v>10</v>
      </c>
      <c r="Z44" s="144">
        <f>15-Z37</f>
        <v>6</v>
      </c>
      <c r="AA44" s="144">
        <f>18-AA37</f>
        <v>4</v>
      </c>
      <c r="AB44" s="144">
        <v>5</v>
      </c>
      <c r="AC44" s="144">
        <f>12-AC37</f>
        <v>5</v>
      </c>
      <c r="AD44" s="144">
        <f>6-AD37</f>
        <v>2</v>
      </c>
      <c r="AE44" s="144">
        <f>11-AE37</f>
        <v>6</v>
      </c>
      <c r="AF44" s="145">
        <f>13-AF37</f>
        <v>3</v>
      </c>
      <c r="AG44" s="475">
        <f>'[1]TEMP Summary'!$T$22</f>
        <v>0</v>
      </c>
      <c r="AH44" s="142">
        <f t="shared" si="9"/>
        <v>159</v>
      </c>
      <c r="AJ44" s="258"/>
      <c r="AK44" s="260"/>
    </row>
    <row r="45" spans="1:37" x14ac:dyDescent="0.25">
      <c r="A45" s="168"/>
      <c r="B45" s="444" t="s">
        <v>187</v>
      </c>
      <c r="C45" s="441">
        <f t="shared" ref="C45:AG45" si="12">SUM(C39:C44)</f>
        <v>189</v>
      </c>
      <c r="D45" s="441">
        <f t="shared" si="12"/>
        <v>188</v>
      </c>
      <c r="E45" s="441">
        <f t="shared" si="12"/>
        <v>179</v>
      </c>
      <c r="F45" s="441">
        <f t="shared" si="12"/>
        <v>253</v>
      </c>
      <c r="G45" s="441">
        <f t="shared" si="12"/>
        <v>179</v>
      </c>
      <c r="H45" s="441">
        <f t="shared" si="12"/>
        <v>490</v>
      </c>
      <c r="I45" s="441">
        <f t="shared" si="12"/>
        <v>167</v>
      </c>
      <c r="J45" s="441">
        <f t="shared" si="12"/>
        <v>231</v>
      </c>
      <c r="K45" s="441">
        <f t="shared" si="12"/>
        <v>174</v>
      </c>
      <c r="L45" s="441">
        <f t="shared" si="12"/>
        <v>184</v>
      </c>
      <c r="M45" s="441">
        <f t="shared" si="12"/>
        <v>280</v>
      </c>
      <c r="N45" s="441">
        <f t="shared" si="12"/>
        <v>244</v>
      </c>
      <c r="O45" s="441">
        <f t="shared" si="12"/>
        <v>172</v>
      </c>
      <c r="P45" s="441">
        <f t="shared" si="12"/>
        <v>221</v>
      </c>
      <c r="Q45" s="441">
        <f t="shared" si="12"/>
        <v>261</v>
      </c>
      <c r="R45" s="441">
        <f t="shared" si="12"/>
        <v>267</v>
      </c>
      <c r="S45" s="441">
        <f t="shared" si="12"/>
        <v>208</v>
      </c>
      <c r="T45" s="441">
        <f t="shared" si="12"/>
        <v>180</v>
      </c>
      <c r="U45" s="441">
        <f t="shared" si="12"/>
        <v>321</v>
      </c>
      <c r="V45" s="441">
        <f t="shared" si="12"/>
        <v>296</v>
      </c>
      <c r="W45" s="441">
        <f t="shared" si="12"/>
        <v>36</v>
      </c>
      <c r="X45" s="441">
        <f t="shared" si="12"/>
        <v>206</v>
      </c>
      <c r="Y45" s="441">
        <f t="shared" si="12"/>
        <v>575</v>
      </c>
      <c r="Z45" s="441">
        <f t="shared" si="12"/>
        <v>252</v>
      </c>
      <c r="AA45" s="441">
        <f t="shared" si="12"/>
        <v>339</v>
      </c>
      <c r="AB45" s="441">
        <f t="shared" si="12"/>
        <v>229</v>
      </c>
      <c r="AC45" s="441">
        <f t="shared" si="12"/>
        <v>265</v>
      </c>
      <c r="AD45" s="441">
        <f t="shared" si="12"/>
        <v>212</v>
      </c>
      <c r="AE45" s="441">
        <f t="shared" si="12"/>
        <v>257</v>
      </c>
      <c r="AF45" s="478">
        <f t="shared" si="12"/>
        <v>249</v>
      </c>
      <c r="AG45" s="476">
        <f t="shared" si="12"/>
        <v>0</v>
      </c>
      <c r="AH45" s="408">
        <f>SUM(C45:AG45)</f>
        <v>7304</v>
      </c>
      <c r="AJ45" s="407"/>
      <c r="AK45" s="406"/>
    </row>
    <row r="46" spans="1:37" s="170" customFormat="1" ht="15.75" thickBot="1" x14ac:dyDescent="0.3">
      <c r="A46" s="169"/>
      <c r="B46" s="146" t="s">
        <v>76</v>
      </c>
      <c r="C46" s="147">
        <f t="shared" ref="C46:AG46" si="13">SUM(C32:C37,C39:C44)</f>
        <v>478</v>
      </c>
      <c r="D46" s="147">
        <f t="shared" si="13"/>
        <v>488</v>
      </c>
      <c r="E46" s="147">
        <f t="shared" si="13"/>
        <v>498</v>
      </c>
      <c r="F46" s="147">
        <f t="shared" si="13"/>
        <v>610</v>
      </c>
      <c r="G46" s="147">
        <f t="shared" si="13"/>
        <v>556</v>
      </c>
      <c r="H46" s="147">
        <f t="shared" si="13"/>
        <v>490</v>
      </c>
      <c r="I46" s="147">
        <f t="shared" si="13"/>
        <v>495</v>
      </c>
      <c r="J46" s="147">
        <f t="shared" si="13"/>
        <v>561</v>
      </c>
      <c r="K46" s="147">
        <f t="shared" si="13"/>
        <v>413</v>
      </c>
      <c r="L46" s="147">
        <f t="shared" si="13"/>
        <v>469</v>
      </c>
      <c r="M46" s="147">
        <f t="shared" si="13"/>
        <v>719</v>
      </c>
      <c r="N46" s="147">
        <f t="shared" si="13"/>
        <v>581</v>
      </c>
      <c r="O46" s="147">
        <f t="shared" si="13"/>
        <v>495</v>
      </c>
      <c r="P46" s="147">
        <f t="shared" si="13"/>
        <v>651</v>
      </c>
      <c r="Q46" s="147">
        <f t="shared" si="13"/>
        <v>656</v>
      </c>
      <c r="R46" s="147">
        <f t="shared" si="13"/>
        <v>589</v>
      </c>
      <c r="S46" s="147">
        <f t="shared" si="13"/>
        <v>491</v>
      </c>
      <c r="T46" s="147">
        <f t="shared" si="13"/>
        <v>620</v>
      </c>
      <c r="U46" s="147">
        <f t="shared" si="13"/>
        <v>541</v>
      </c>
      <c r="V46" s="147">
        <f t="shared" si="13"/>
        <v>577</v>
      </c>
      <c r="W46" s="147">
        <f t="shared" si="13"/>
        <v>647</v>
      </c>
      <c r="X46" s="147">
        <f t="shared" si="13"/>
        <v>580</v>
      </c>
      <c r="Y46" s="147">
        <f t="shared" si="13"/>
        <v>575</v>
      </c>
      <c r="Z46" s="147">
        <f t="shared" si="13"/>
        <v>631</v>
      </c>
      <c r="AA46" s="147">
        <f t="shared" si="13"/>
        <v>809</v>
      </c>
      <c r="AB46" s="147">
        <f t="shared" si="13"/>
        <v>486</v>
      </c>
      <c r="AC46" s="147">
        <f t="shared" si="13"/>
        <v>678</v>
      </c>
      <c r="AD46" s="147">
        <f t="shared" si="13"/>
        <v>646</v>
      </c>
      <c r="AE46" s="147">
        <f t="shared" si="13"/>
        <v>647</v>
      </c>
      <c r="AF46" s="263">
        <f t="shared" si="13"/>
        <v>488</v>
      </c>
      <c r="AG46" s="477">
        <f t="shared" si="13"/>
        <v>0</v>
      </c>
      <c r="AH46" s="148">
        <f>SUM(AH32:AH37,AH39:AH44)</f>
        <v>17165</v>
      </c>
      <c r="AJ46" s="261">
        <f>AH46</f>
        <v>17165</v>
      </c>
      <c r="AK46" s="262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1:AK31"/>
    <mergeCell ref="AJ17:AM17"/>
    <mergeCell ref="AJ25:AK25"/>
    <mergeCell ref="AL25:AM25"/>
  </mergeCells>
  <conditionalFormatting sqref="C26:AG28">
    <cfRule type="cellIs" dxfId="1" priority="1" operator="notEqual">
      <formula>0</formula>
    </cfRule>
  </conditionalFormatting>
  <conditionalFormatting sqref="C26:AG28">
    <cfRule type="cellIs" dxfId="0" priority="2" operator="notEqual">
      <formula>0</formula>
    </cfRule>
  </conditionalFormatting>
  <pageMargins left="0.25" right="0.25" top="0.75" bottom="0.75" header="0.3" footer="0.3"/>
  <pageSetup paperSize="17" scale="63" fitToHeight="4" orientation="landscape" verticalDpi="300" r:id="rId1"/>
  <headerFooter>
    <oddFooter>&amp;L&amp;8&amp;Z&amp;F&amp;R&amp;8&amp;A</oddFooter>
  </headerFooter>
  <ignoredErrors>
    <ignoredError sqref="C38 D38:AG38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4" sqref="C4"/>
    </sheetView>
  </sheetViews>
  <sheetFormatPr defaultColWidth="9.140625"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7" t="s">
        <v>118</v>
      </c>
      <c r="B1" s="255" t="str">
        <f>CONCATENATE('Cash Flow'!C1, "  ",'Cash Flow'!D1)</f>
        <v>June   2022</v>
      </c>
    </row>
    <row r="2" spans="1:5" ht="15.75" thickBot="1" x14ac:dyDescent="0.3"/>
    <row r="3" spans="1:5" x14ac:dyDescent="0.25">
      <c r="A3" s="251" t="s">
        <v>61</v>
      </c>
      <c r="B3" s="252" t="s">
        <v>101</v>
      </c>
      <c r="C3" s="128">
        <f>'Box Canon'!AH3+'Box Canon'!AH9</f>
        <v>836.21</v>
      </c>
      <c r="D3" s="116"/>
    </row>
    <row r="4" spans="1:5" x14ac:dyDescent="0.25">
      <c r="A4" s="253" t="s">
        <v>69</v>
      </c>
      <c r="B4" s="254" t="s">
        <v>70</v>
      </c>
      <c r="C4" s="131">
        <f>'Box Canon'!AH4+'Box Canon'!AH10</f>
        <v>72989</v>
      </c>
      <c r="D4" s="116"/>
    </row>
    <row r="5" spans="1:5" x14ac:dyDescent="0.25">
      <c r="A5" s="253" t="s">
        <v>80</v>
      </c>
      <c r="B5" s="254" t="s">
        <v>102</v>
      </c>
      <c r="C5" s="131">
        <f>'Box Canon'!AH5+'Box Canon'!AH11</f>
        <v>111.9</v>
      </c>
      <c r="D5" s="116"/>
    </row>
    <row r="6" spans="1:5" x14ac:dyDescent="0.25">
      <c r="A6" s="253" t="s">
        <v>79</v>
      </c>
      <c r="B6" s="254" t="s">
        <v>103</v>
      </c>
      <c r="C6" s="131">
        <f>'Box Canon'!AH6+'Box Canon'!AH12</f>
        <v>8835.86</v>
      </c>
      <c r="D6" s="116"/>
    </row>
    <row r="7" spans="1:5" x14ac:dyDescent="0.25">
      <c r="A7" s="253" t="s">
        <v>79</v>
      </c>
      <c r="B7" s="254" t="s">
        <v>81</v>
      </c>
      <c r="C7" s="131">
        <f>'Box Canon'!AH7+'Box Canon'!AH13</f>
        <v>30</v>
      </c>
      <c r="D7" s="116"/>
    </row>
    <row r="8" spans="1:5" x14ac:dyDescent="0.25">
      <c r="A8" s="253"/>
      <c r="B8" s="254"/>
      <c r="C8" s="131"/>
      <c r="D8" s="116"/>
    </row>
    <row r="9" spans="1:5" x14ac:dyDescent="0.25">
      <c r="A9" s="129" t="s">
        <v>84</v>
      </c>
      <c r="B9" s="130" t="s">
        <v>97</v>
      </c>
      <c r="C9" s="131">
        <f>-('Box Canon'!AH26+'Box Canon'!AH27)</f>
        <v>-27.250000000000341</v>
      </c>
      <c r="D9" s="116"/>
    </row>
    <row r="10" spans="1:5" ht="15.75" thickBot="1" x14ac:dyDescent="0.3">
      <c r="A10" s="182"/>
      <c r="B10" s="183"/>
      <c r="C10" s="184"/>
      <c r="D10" s="255"/>
      <c r="E10" s="170"/>
    </row>
    <row r="11" spans="1:5" x14ac:dyDescent="0.25">
      <c r="A11" s="116"/>
      <c r="B11" s="249" t="s">
        <v>64</v>
      </c>
      <c r="C11" s="207"/>
      <c r="D11" s="250">
        <f>SUM(C3:C9)</f>
        <v>82775.72</v>
      </c>
    </row>
    <row r="12" spans="1:5" ht="15.75" thickBot="1" x14ac:dyDescent="0.3">
      <c r="C12" s="156"/>
    </row>
    <row r="13" spans="1:5" x14ac:dyDescent="0.25">
      <c r="A13" s="126" t="s">
        <v>60</v>
      </c>
      <c r="B13" s="127" t="s">
        <v>93</v>
      </c>
      <c r="C13" s="128">
        <f>'Box Canon'!AL20</f>
        <v>36841.129999999997</v>
      </c>
    </row>
    <row r="14" spans="1:5" x14ac:dyDescent="0.25">
      <c r="A14" s="129" t="s">
        <v>60</v>
      </c>
      <c r="B14" s="130" t="s">
        <v>95</v>
      </c>
      <c r="C14" s="131">
        <f>'Box Canon'!AM20</f>
        <v>1709.5800000000002</v>
      </c>
    </row>
    <row r="15" spans="1:5" x14ac:dyDescent="0.25">
      <c r="A15" s="129" t="s">
        <v>60</v>
      </c>
      <c r="B15" s="130" t="s">
        <v>94</v>
      </c>
      <c r="C15" s="131">
        <f>'Box Canon'!AL21</f>
        <v>36942.370000000003</v>
      </c>
      <c r="E15" s="256">
        <f>D11-D22</f>
        <v>0</v>
      </c>
    </row>
    <row r="16" spans="1:5" x14ac:dyDescent="0.25">
      <c r="A16" s="129" t="s">
        <v>60</v>
      </c>
      <c r="B16" s="130" t="s">
        <v>96</v>
      </c>
      <c r="C16" s="131">
        <f>'Box Canon'!AM21</f>
        <v>5812.8099999999995</v>
      </c>
    </row>
    <row r="17" spans="1:4" x14ac:dyDescent="0.25">
      <c r="A17" s="129" t="s">
        <v>60</v>
      </c>
      <c r="B17" s="130" t="s">
        <v>218</v>
      </c>
      <c r="C17" s="131">
        <f>'Box Canon'!AL22</f>
        <v>106</v>
      </c>
    </row>
    <row r="18" spans="1:4" x14ac:dyDescent="0.25">
      <c r="A18" s="129" t="s">
        <v>60</v>
      </c>
      <c r="B18" s="130" t="s">
        <v>219</v>
      </c>
      <c r="C18" s="131">
        <f>'Box Canon'!AM22</f>
        <v>38.74</v>
      </c>
    </row>
    <row r="19" spans="1:4" x14ac:dyDescent="0.25">
      <c r="A19" s="129" t="s">
        <v>212</v>
      </c>
      <c r="B19" s="130" t="s">
        <v>213</v>
      </c>
      <c r="C19" s="131">
        <f>'Box Canon'!AL29</f>
        <v>1142.25</v>
      </c>
    </row>
    <row r="20" spans="1:4" x14ac:dyDescent="0.25">
      <c r="A20" s="129" t="s">
        <v>212</v>
      </c>
      <c r="B20" s="130" t="s">
        <v>214</v>
      </c>
      <c r="C20" s="131">
        <f>'Box Canon'!AM29</f>
        <v>182.84000000000003</v>
      </c>
    </row>
    <row r="21" spans="1:4" ht="15.75" thickBot="1" x14ac:dyDescent="0.3">
      <c r="A21" s="182"/>
      <c r="B21" s="183"/>
      <c r="C21" s="184"/>
      <c r="D21" s="170"/>
    </row>
    <row r="22" spans="1:4" x14ac:dyDescent="0.25">
      <c r="B22" s="249" t="s">
        <v>65</v>
      </c>
      <c r="C22" s="207"/>
      <c r="D22" s="250">
        <f>SUM(C13:C20)</f>
        <v>82775.72</v>
      </c>
    </row>
    <row r="23" spans="1:4" ht="15.75" thickBot="1" x14ac:dyDescent="0.3"/>
    <row r="24" spans="1:4" x14ac:dyDescent="0.25">
      <c r="B24" s="513" t="s">
        <v>57</v>
      </c>
      <c r="C24" s="514"/>
    </row>
    <row r="25" spans="1:4" x14ac:dyDescent="0.25">
      <c r="B25" s="143" t="s">
        <v>75</v>
      </c>
      <c r="C25" s="145">
        <f>'Box Canon'!AJ32</f>
        <v>10519</v>
      </c>
    </row>
    <row r="26" spans="1:4" x14ac:dyDescent="0.25">
      <c r="B26" s="143" t="s">
        <v>74</v>
      </c>
      <c r="C26" s="145">
        <f>'Box Canon'!AJ33</f>
        <v>3730</v>
      </c>
    </row>
    <row r="27" spans="1:4" x14ac:dyDescent="0.25">
      <c r="B27" s="143" t="s">
        <v>209</v>
      </c>
      <c r="C27" s="145">
        <f>'Box Canon'!AJ34</f>
        <v>195</v>
      </c>
    </row>
    <row r="28" spans="1:4" x14ac:dyDescent="0.25">
      <c r="B28" s="143" t="s">
        <v>72</v>
      </c>
      <c r="C28" s="145">
        <f>'Box Canon'!AJ35</f>
        <v>245</v>
      </c>
    </row>
    <row r="29" spans="1:4" x14ac:dyDescent="0.25">
      <c r="B29" s="143" t="s">
        <v>73</v>
      </c>
      <c r="C29" s="145">
        <f>'Box Canon'!AJ36</f>
        <v>2138</v>
      </c>
    </row>
    <row r="30" spans="1:4" x14ac:dyDescent="0.25">
      <c r="B30" s="143" t="s">
        <v>71</v>
      </c>
      <c r="C30" s="145">
        <f>'Box Canon'!AJ37</f>
        <v>338</v>
      </c>
    </row>
    <row r="31" spans="1:4" x14ac:dyDescent="0.25">
      <c r="B31" s="129"/>
      <c r="C31" s="246"/>
    </row>
    <row r="32" spans="1:4" ht="15.75" thickBot="1" x14ac:dyDescent="0.3">
      <c r="B32" s="247" t="s">
        <v>76</v>
      </c>
      <c r="C32" s="248">
        <f>SUM(C25:C30)</f>
        <v>17165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2"/>
  <sheetViews>
    <sheetView workbookViewId="0">
      <selection activeCell="G45" sqref="G45"/>
    </sheetView>
  </sheetViews>
  <sheetFormatPr defaultColWidth="9.140625" defaultRowHeight="15" x14ac:dyDescent="0.25"/>
  <cols>
    <col min="1" max="1" width="10.42578125" style="59" bestFit="1" customWidth="1"/>
    <col min="2" max="2" width="35.140625" style="59" customWidth="1"/>
    <col min="3" max="3" width="17.85546875" style="156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81" customFormat="1" ht="13.5" customHeight="1" x14ac:dyDescent="0.25">
      <c r="A1" s="236" t="s">
        <v>117</v>
      </c>
      <c r="B1" s="179" t="str">
        <f>CONCATENATE('Cash Flow'!C1, "  ",'Cash Flow'!D1)</f>
        <v>June   2022</v>
      </c>
      <c r="C1" s="180"/>
    </row>
    <row r="2" spans="1:6" s="181" customFormat="1" ht="5.0999999999999996" customHeight="1" thickBot="1" x14ac:dyDescent="0.3">
      <c r="A2" s="236"/>
      <c r="B2" s="179"/>
      <c r="C2" s="180"/>
    </row>
    <row r="3" spans="1:6" s="181" customFormat="1" ht="14.1" customHeight="1" thickBot="1" x14ac:dyDescent="0.3">
      <c r="A3" s="521" t="s">
        <v>186</v>
      </c>
      <c r="B3" s="522"/>
      <c r="C3" s="523"/>
    </row>
    <row r="4" spans="1:6" s="181" customFormat="1" ht="24" customHeight="1" x14ac:dyDescent="0.25">
      <c r="A4" s="89" t="s">
        <v>30</v>
      </c>
      <c r="B4" s="84" t="s">
        <v>31</v>
      </c>
      <c r="C4" s="186">
        <f>Pool!AH4+Pool!AH7+Pool!AH5</f>
        <v>224105.40000000002</v>
      </c>
      <c r="D4" s="515" t="s">
        <v>177</v>
      </c>
      <c r="E4" s="516"/>
      <c r="F4" s="516"/>
    </row>
    <row r="5" spans="1:6" ht="14.1" customHeight="1" x14ac:dyDescent="0.25">
      <c r="A5" s="90" t="s">
        <v>178</v>
      </c>
      <c r="B5" s="91" t="s">
        <v>63</v>
      </c>
      <c r="C5" s="187">
        <f>Pool!AH6</f>
        <v>11018.1</v>
      </c>
      <c r="D5" s="519"/>
      <c r="E5" s="520"/>
      <c r="F5" s="520"/>
    </row>
    <row r="6" spans="1:6" ht="14.1" customHeight="1" x14ac:dyDescent="0.25">
      <c r="A6" s="90" t="s">
        <v>155</v>
      </c>
      <c r="B6" s="91" t="s">
        <v>197</v>
      </c>
      <c r="C6" s="187">
        <f>Pool!AH8</f>
        <v>57106.369999999995</v>
      </c>
      <c r="D6" s="517" t="s">
        <v>199</v>
      </c>
      <c r="E6" s="518"/>
      <c r="F6" s="518"/>
    </row>
    <row r="7" spans="1:6" ht="14.1" customHeight="1" x14ac:dyDescent="0.25">
      <c r="A7" s="90" t="s">
        <v>160</v>
      </c>
      <c r="B7" s="91" t="s">
        <v>161</v>
      </c>
      <c r="C7" s="187">
        <f>Pool!AH9</f>
        <v>0</v>
      </c>
      <c r="D7" s="519"/>
      <c r="E7" s="520"/>
      <c r="F7" s="520"/>
    </row>
    <row r="8" spans="1:6" ht="14.1" customHeight="1" x14ac:dyDescent="0.25">
      <c r="A8" s="90" t="s">
        <v>162</v>
      </c>
      <c r="B8" s="91" t="s">
        <v>171</v>
      </c>
      <c r="C8" s="187">
        <f>Pool!AH10</f>
        <v>0</v>
      </c>
      <c r="D8" s="519"/>
      <c r="E8" s="520"/>
      <c r="F8" s="520"/>
    </row>
    <row r="9" spans="1:6" ht="14.1" customHeight="1" x14ac:dyDescent="0.25">
      <c r="A9" s="90" t="s">
        <v>34</v>
      </c>
      <c r="B9" s="91" t="s">
        <v>35</v>
      </c>
      <c r="C9" s="187">
        <f>Pool!AH14</f>
        <v>1572.6</v>
      </c>
      <c r="D9" s="519"/>
      <c r="E9" s="520"/>
      <c r="F9" s="520"/>
    </row>
    <row r="10" spans="1:6" ht="14.1" customHeight="1" x14ac:dyDescent="0.25">
      <c r="A10" s="90" t="s">
        <v>36</v>
      </c>
      <c r="B10" s="91" t="s">
        <v>37</v>
      </c>
      <c r="C10" s="187">
        <f>Pool!AH15</f>
        <v>18422.62</v>
      </c>
      <c r="D10" s="519"/>
      <c r="E10" s="520"/>
      <c r="F10" s="520"/>
    </row>
    <row r="11" spans="1:6" ht="14.1" customHeight="1" x14ac:dyDescent="0.25">
      <c r="A11" s="90" t="s">
        <v>202</v>
      </c>
      <c r="B11" s="91" t="s">
        <v>112</v>
      </c>
      <c r="C11" s="187">
        <f>Pool!AH16</f>
        <v>0</v>
      </c>
      <c r="D11" s="519"/>
      <c r="E11" s="520"/>
      <c r="F11" s="520"/>
    </row>
    <row r="12" spans="1:6" ht="14.1" customHeight="1" x14ac:dyDescent="0.25">
      <c r="A12" s="90" t="s">
        <v>77</v>
      </c>
      <c r="B12" s="91" t="s">
        <v>198</v>
      </c>
      <c r="C12" s="187">
        <f>Pool!AH17</f>
        <v>6039.8</v>
      </c>
      <c r="D12" s="519" t="s">
        <v>200</v>
      </c>
      <c r="E12" s="520"/>
      <c r="F12" s="520"/>
    </row>
    <row r="13" spans="1:6" ht="14.1" customHeight="1" x14ac:dyDescent="0.25">
      <c r="A13" s="90" t="s">
        <v>38</v>
      </c>
      <c r="B13" s="91" t="s">
        <v>39</v>
      </c>
      <c r="C13" s="187">
        <f>Pool!AH18</f>
        <v>0</v>
      </c>
      <c r="D13" s="519"/>
      <c r="E13" s="520"/>
      <c r="F13" s="520"/>
    </row>
    <row r="14" spans="1:6" ht="14.1" customHeight="1" x14ac:dyDescent="0.25">
      <c r="A14" s="90" t="s">
        <v>40</v>
      </c>
      <c r="B14" s="91" t="s">
        <v>41</v>
      </c>
      <c r="C14" s="187">
        <f>Pool!AH20</f>
        <v>0</v>
      </c>
      <c r="D14" s="519"/>
      <c r="E14" s="520"/>
      <c r="F14" s="520"/>
    </row>
    <row r="15" spans="1:6" ht="14.1" customHeight="1" x14ac:dyDescent="0.25">
      <c r="A15" s="90" t="s">
        <v>164</v>
      </c>
      <c r="B15" s="91" t="s">
        <v>165</v>
      </c>
      <c r="C15" s="187">
        <f>Pool!AH19</f>
        <v>1395</v>
      </c>
      <c r="D15" s="519"/>
      <c r="E15" s="520"/>
      <c r="F15" s="520"/>
    </row>
    <row r="16" spans="1:6" ht="14.1" customHeight="1" x14ac:dyDescent="0.25">
      <c r="A16" s="90" t="s">
        <v>42</v>
      </c>
      <c r="B16" s="91" t="s">
        <v>43</v>
      </c>
      <c r="C16" s="187">
        <f>Pool!AH21</f>
        <v>0</v>
      </c>
      <c r="D16" s="519"/>
      <c r="E16" s="520"/>
      <c r="F16" s="520"/>
    </row>
    <row r="17" spans="1:7" ht="14.1" hidden="1" customHeight="1" x14ac:dyDescent="0.25">
      <c r="A17" s="90" t="s">
        <v>44</v>
      </c>
      <c r="B17" s="91" t="s">
        <v>45</v>
      </c>
      <c r="C17" s="187">
        <f>Pool!AH22</f>
        <v>0</v>
      </c>
      <c r="D17" s="519"/>
      <c r="E17" s="520"/>
      <c r="F17" s="520"/>
    </row>
    <row r="18" spans="1:7" ht="14.1" hidden="1" customHeight="1" x14ac:dyDescent="0.25">
      <c r="A18" s="90" t="s">
        <v>46</v>
      </c>
      <c r="B18" s="91" t="s">
        <v>47</v>
      </c>
      <c r="C18" s="187">
        <f>Pool!AH23</f>
        <v>0</v>
      </c>
      <c r="D18" s="519"/>
      <c r="E18" s="520"/>
      <c r="F18" s="520"/>
    </row>
    <row r="19" spans="1:7" ht="14.1" hidden="1" customHeight="1" x14ac:dyDescent="0.25">
      <c r="A19" s="90" t="s">
        <v>48</v>
      </c>
      <c r="B19" s="91" t="s">
        <v>49</v>
      </c>
      <c r="C19" s="187">
        <f>Pool!AH24</f>
        <v>0</v>
      </c>
      <c r="D19" s="519"/>
      <c r="E19" s="520"/>
      <c r="F19" s="520"/>
    </row>
    <row r="20" spans="1:7" ht="14.1" customHeight="1" x14ac:dyDescent="0.25">
      <c r="A20" s="90" t="s">
        <v>50</v>
      </c>
      <c r="B20" s="91" t="s">
        <v>51</v>
      </c>
      <c r="C20" s="187">
        <f>Pool!AH25</f>
        <v>0</v>
      </c>
      <c r="D20" s="519"/>
      <c r="E20" s="520"/>
      <c r="F20" s="520"/>
    </row>
    <row r="21" spans="1:7" ht="14.1" customHeight="1" thickBot="1" x14ac:dyDescent="0.3">
      <c r="A21" s="81" t="s">
        <v>52</v>
      </c>
      <c r="B21" s="94" t="s">
        <v>53</v>
      </c>
      <c r="C21" s="188">
        <f>Pool!AH26</f>
        <v>0</v>
      </c>
      <c r="D21" s="519"/>
      <c r="E21" s="520"/>
      <c r="F21" s="520"/>
    </row>
    <row r="22" spans="1:7" ht="14.1" customHeight="1" x14ac:dyDescent="0.25">
      <c r="A22" s="190"/>
      <c r="B22" s="208" t="s">
        <v>64</v>
      </c>
      <c r="C22" s="189">
        <f>C4+C5+C6+C7+C8+C9+C10+C11+C12+C15</f>
        <v>319659.88999999996</v>
      </c>
      <c r="D22" s="519" t="s">
        <v>174</v>
      </c>
      <c r="E22" s="520"/>
      <c r="F22" s="520"/>
    </row>
    <row r="23" spans="1:7" ht="5.0999999999999996" customHeight="1" thickBot="1" x14ac:dyDescent="0.3">
      <c r="A23" s="116"/>
      <c r="B23" s="116"/>
      <c r="C23" s="116"/>
      <c r="F23" s="211"/>
      <c r="G23" s="211"/>
    </row>
    <row r="24" spans="1:7" ht="14.1" customHeight="1" thickBot="1" x14ac:dyDescent="0.3">
      <c r="A24" s="521" t="s">
        <v>179</v>
      </c>
      <c r="B24" s="522"/>
      <c r="C24" s="523"/>
    </row>
    <row r="25" spans="1:7" ht="14.1" customHeight="1" x14ac:dyDescent="0.25">
      <c r="A25" s="126" t="s">
        <v>61</v>
      </c>
      <c r="B25" s="395" t="s">
        <v>62</v>
      </c>
      <c r="C25" s="396">
        <f>Pool!AH3</f>
        <v>1773.3899999999999</v>
      </c>
      <c r="D25" s="519"/>
      <c r="E25" s="520"/>
      <c r="F25" s="520"/>
    </row>
    <row r="26" spans="1:7" ht="14.1" customHeight="1" x14ac:dyDescent="0.25">
      <c r="A26" s="129" t="s">
        <v>156</v>
      </c>
      <c r="B26" s="397" t="s">
        <v>157</v>
      </c>
      <c r="C26" s="399">
        <f>Pool!AH11</f>
        <v>335</v>
      </c>
      <c r="D26" s="519" t="s">
        <v>184</v>
      </c>
      <c r="E26" s="520"/>
      <c r="F26" s="520"/>
    </row>
    <row r="27" spans="1:7" ht="14.1" customHeight="1" x14ac:dyDescent="0.25">
      <c r="A27" s="129" t="s">
        <v>167</v>
      </c>
      <c r="B27" s="397" t="s">
        <v>168</v>
      </c>
      <c r="C27" s="399">
        <f>Pool!AH12</f>
        <v>0</v>
      </c>
      <c r="D27" s="519" t="s">
        <v>172</v>
      </c>
      <c r="E27" s="520"/>
      <c r="F27" s="520"/>
    </row>
    <row r="28" spans="1:7" ht="14.1" customHeight="1" x14ac:dyDescent="0.25">
      <c r="A28" s="129" t="s">
        <v>169</v>
      </c>
      <c r="B28" s="397" t="s">
        <v>170</v>
      </c>
      <c r="C28" s="399">
        <f>Pool!AH13</f>
        <v>0</v>
      </c>
      <c r="D28" s="519" t="s">
        <v>173</v>
      </c>
      <c r="E28" s="520"/>
      <c r="F28" s="520"/>
    </row>
    <row r="29" spans="1:7" ht="14.1" customHeight="1" thickBot="1" x14ac:dyDescent="0.3">
      <c r="A29" s="135" t="s">
        <v>110</v>
      </c>
      <c r="B29" s="398" t="s">
        <v>86</v>
      </c>
      <c r="C29" s="400">
        <f>Pool!AH27</f>
        <v>36</v>
      </c>
      <c r="D29" s="519" t="s">
        <v>180</v>
      </c>
      <c r="E29" s="520"/>
      <c r="F29" s="520"/>
    </row>
    <row r="30" spans="1:7" ht="14.1" customHeight="1" x14ac:dyDescent="0.25">
      <c r="A30" s="116"/>
      <c r="B30" s="401" t="s">
        <v>181</v>
      </c>
      <c r="C30" s="402">
        <f>SUM(C25:C29)</f>
        <v>2144.39</v>
      </c>
      <c r="F30" s="211"/>
    </row>
    <row r="31" spans="1:7" ht="5.0999999999999996" customHeight="1" x14ac:dyDescent="0.25">
      <c r="A31" s="116"/>
      <c r="B31" s="403"/>
      <c r="C31" s="402"/>
      <c r="F31" s="211"/>
    </row>
    <row r="32" spans="1:7" ht="14.1" customHeight="1" x14ac:dyDescent="0.25">
      <c r="A32" s="116"/>
      <c r="B32" s="404" t="s">
        <v>182</v>
      </c>
      <c r="C32" s="405">
        <f>C30+C22</f>
        <v>321804.27999999997</v>
      </c>
      <c r="D32" s="520" t="s">
        <v>183</v>
      </c>
      <c r="E32" s="520"/>
      <c r="F32" s="520"/>
    </row>
    <row r="33" spans="1:6" ht="5.0999999999999996" customHeight="1" thickBot="1" x14ac:dyDescent="0.3">
      <c r="A33" s="116"/>
      <c r="B33" s="116"/>
      <c r="C33" s="116"/>
    </row>
    <row r="34" spans="1:6" ht="14.1" customHeight="1" thickBot="1" x14ac:dyDescent="0.3">
      <c r="A34" s="521" t="s">
        <v>185</v>
      </c>
      <c r="B34" s="522"/>
      <c r="C34" s="523"/>
    </row>
    <row r="35" spans="1:6" ht="14.1" customHeight="1" x14ac:dyDescent="0.25">
      <c r="A35" s="126" t="s">
        <v>60</v>
      </c>
      <c r="B35" s="127" t="s">
        <v>87</v>
      </c>
      <c r="C35" s="157">
        <f>Pool!AL32</f>
        <v>54363.749999999993</v>
      </c>
    </row>
    <row r="36" spans="1:6" ht="14.1" customHeight="1" x14ac:dyDescent="0.25">
      <c r="A36" s="129" t="s">
        <v>60</v>
      </c>
      <c r="B36" s="130" t="s">
        <v>89</v>
      </c>
      <c r="C36" s="158">
        <f>Pool!AM32</f>
        <v>5670.76</v>
      </c>
    </row>
    <row r="37" spans="1:6" ht="14.1" customHeight="1" x14ac:dyDescent="0.25">
      <c r="A37" s="129" t="s">
        <v>60</v>
      </c>
      <c r="B37" s="130" t="s">
        <v>88</v>
      </c>
      <c r="C37" s="158">
        <f>Pool!AL33</f>
        <v>214409.78999999998</v>
      </c>
    </row>
    <row r="38" spans="1:6" ht="14.1" customHeight="1" x14ac:dyDescent="0.25">
      <c r="A38" s="129" t="s">
        <v>60</v>
      </c>
      <c r="B38" s="130" t="s">
        <v>90</v>
      </c>
      <c r="C38" s="158">
        <f>Pool!AM33</f>
        <v>39264.129999999997</v>
      </c>
      <c r="D38" s="267"/>
      <c r="E38" s="211"/>
    </row>
    <row r="39" spans="1:6" ht="14.1" customHeight="1" x14ac:dyDescent="0.25">
      <c r="A39" s="129" t="s">
        <v>60</v>
      </c>
      <c r="B39" s="130" t="s">
        <v>113</v>
      </c>
      <c r="C39" s="158">
        <f>Pool!AL34</f>
        <v>0</v>
      </c>
      <c r="D39" s="268"/>
      <c r="E39" s="211"/>
    </row>
    <row r="40" spans="1:6" ht="14.1" customHeight="1" x14ac:dyDescent="0.25">
      <c r="A40" s="129" t="s">
        <v>60</v>
      </c>
      <c r="B40" s="130" t="s">
        <v>114</v>
      </c>
      <c r="C40" s="158">
        <f>Pool!AM34</f>
        <v>0</v>
      </c>
      <c r="E40" s="211"/>
    </row>
    <row r="41" spans="1:6" ht="14.1" customHeight="1" x14ac:dyDescent="0.25">
      <c r="A41" s="129" t="s">
        <v>204</v>
      </c>
      <c r="B41" s="130" t="s">
        <v>206</v>
      </c>
      <c r="C41" s="158">
        <f>Pool!AL44</f>
        <v>6740.369999999999</v>
      </c>
      <c r="E41" s="211"/>
    </row>
    <row r="42" spans="1:6" ht="14.1" customHeight="1" x14ac:dyDescent="0.25">
      <c r="A42" s="129" t="s">
        <v>204</v>
      </c>
      <c r="B42" s="130" t="s">
        <v>207</v>
      </c>
      <c r="C42" s="158">
        <f>Pool!AM44</f>
        <v>1219.33</v>
      </c>
      <c r="E42" s="211"/>
    </row>
    <row r="43" spans="1:6" ht="14.1" hidden="1" customHeight="1" x14ac:dyDescent="0.25">
      <c r="A43" s="129" t="s">
        <v>60</v>
      </c>
      <c r="B43" s="130" t="s">
        <v>115</v>
      </c>
      <c r="C43" s="158">
        <f>Pool!AL35</f>
        <v>0</v>
      </c>
      <c r="E43" s="211"/>
    </row>
    <row r="44" spans="1:6" ht="14.1" hidden="1" customHeight="1" x14ac:dyDescent="0.25">
      <c r="A44" s="129" t="s">
        <v>60</v>
      </c>
      <c r="B44" s="130" t="s">
        <v>116</v>
      </c>
      <c r="C44" s="158">
        <f>Pool!AM35</f>
        <v>0</v>
      </c>
      <c r="E44" s="211"/>
    </row>
    <row r="45" spans="1:6" ht="14.1" customHeight="1" x14ac:dyDescent="0.25">
      <c r="A45" s="129" t="s">
        <v>32</v>
      </c>
      <c r="B45" s="130" t="s">
        <v>91</v>
      </c>
      <c r="C45" s="158">
        <f>Pool!AL42</f>
        <v>56.149999999999636</v>
      </c>
      <c r="D45" s="524"/>
      <c r="E45" s="525"/>
      <c r="F45" s="525"/>
    </row>
    <row r="46" spans="1:6" ht="14.1" customHeight="1" x14ac:dyDescent="0.25">
      <c r="A46" s="362" t="s">
        <v>67</v>
      </c>
      <c r="B46" s="363" t="s">
        <v>92</v>
      </c>
      <c r="C46" s="381">
        <f>Pool!AL36</f>
        <v>44</v>
      </c>
    </row>
    <row r="47" spans="1:6" ht="14.1" customHeight="1" thickBot="1" x14ac:dyDescent="0.3">
      <c r="A47" s="135" t="s">
        <v>110</v>
      </c>
      <c r="B47" s="136" t="s">
        <v>176</v>
      </c>
      <c r="C47" s="159">
        <f>Pool!AL37</f>
        <v>36</v>
      </c>
    </row>
    <row r="48" spans="1:6" ht="12.75" customHeight="1" x14ac:dyDescent="0.25">
      <c r="A48" s="206"/>
      <c r="B48" s="209" t="s">
        <v>65</v>
      </c>
      <c r="C48" s="210">
        <f>SUM(C35:C47)</f>
        <v>321804.28000000003</v>
      </c>
    </row>
    <row r="49" spans="1:5" ht="5.0999999999999996" customHeight="1" thickBot="1" x14ac:dyDescent="0.3">
      <c r="D49" s="210"/>
      <c r="E49" s="211"/>
    </row>
    <row r="50" spans="1:5" ht="14.1" customHeight="1" x14ac:dyDescent="0.25">
      <c r="B50" s="126" t="s">
        <v>57</v>
      </c>
      <c r="C50" s="237">
        <f>Pool!AJ46</f>
        <v>17484</v>
      </c>
    </row>
    <row r="51" spans="1:5" ht="14.1" customHeight="1" x14ac:dyDescent="0.25">
      <c r="B51" s="129" t="s">
        <v>58</v>
      </c>
      <c r="C51" s="238">
        <f>Pool!AJ47</f>
        <v>2672</v>
      </c>
    </row>
    <row r="52" spans="1:5" ht="14.1" customHeight="1" thickBot="1" x14ac:dyDescent="0.3">
      <c r="B52" s="239" t="s">
        <v>107</v>
      </c>
      <c r="C52" s="240">
        <f>C50+C51</f>
        <v>20156</v>
      </c>
    </row>
    <row r="53" spans="1:5" ht="5.0999999999999996" customHeight="1" thickBot="1" x14ac:dyDescent="0.3"/>
    <row r="54" spans="1:5" ht="14.1" customHeight="1" thickBot="1" x14ac:dyDescent="0.3">
      <c r="B54" s="241" t="s">
        <v>119</v>
      </c>
      <c r="C54" s="242">
        <f>Pool!AJ53</f>
        <v>12.801740507035483</v>
      </c>
    </row>
    <row r="55" spans="1:5" ht="5.0999999999999996" customHeight="1" thickBot="1" x14ac:dyDescent="0.3"/>
    <row r="56" spans="1:5" ht="14.1" customHeight="1" thickBot="1" x14ac:dyDescent="0.3">
      <c r="A56" s="265"/>
      <c r="B56" s="300" t="s">
        <v>131</v>
      </c>
      <c r="C56" s="301" t="s">
        <v>142</v>
      </c>
    </row>
    <row r="57" spans="1:5" ht="14.1" customHeight="1" x14ac:dyDescent="0.25">
      <c r="B57" s="83" t="s">
        <v>136</v>
      </c>
      <c r="C57" s="312">
        <f>Pool!AJ56</f>
        <v>98.275862068965523</v>
      </c>
    </row>
    <row r="58" spans="1:5" ht="14.1" customHeight="1" x14ac:dyDescent="0.25">
      <c r="A58" s="265"/>
      <c r="B58" s="313" t="s">
        <v>137</v>
      </c>
      <c r="C58" s="314">
        <f>Pool!AJ57</f>
        <v>87.724137931034477</v>
      </c>
    </row>
    <row r="59" spans="1:5" ht="14.1" customHeight="1" x14ac:dyDescent="0.25">
      <c r="B59" s="313" t="s">
        <v>139</v>
      </c>
      <c r="C59" s="314">
        <f>Pool!AJ58</f>
        <v>80.172413793103445</v>
      </c>
    </row>
    <row r="60" spans="1:5" ht="14.1" customHeight="1" thickBot="1" x14ac:dyDescent="0.3">
      <c r="B60" s="315" t="s">
        <v>143</v>
      </c>
      <c r="C60" s="316">
        <f>Pool!AJ59</f>
        <v>0</v>
      </c>
    </row>
    <row r="61" spans="1:5" x14ac:dyDescent="0.25">
      <c r="A61" s="377"/>
      <c r="B61" s="377"/>
      <c r="C61" s="377"/>
      <c r="E61" s="377"/>
    </row>
    <row r="62" spans="1:5" x14ac:dyDescent="0.25">
      <c r="D62" s="377"/>
    </row>
  </sheetData>
  <sheetProtection formatCells="0" formatColumns="0" formatRows="0" insertColumns="0" insertRows="0" insertHyperlinks="0" deleteColumns="0" deleteRows="0" sort="0" autoFilter="0" pivotTables="0"/>
  <mergeCells count="29">
    <mergeCell ref="D32:F32"/>
    <mergeCell ref="A34:C34"/>
    <mergeCell ref="A3:C3"/>
    <mergeCell ref="D45:F45"/>
    <mergeCell ref="A24:C24"/>
    <mergeCell ref="D29:F29"/>
    <mergeCell ref="D25:F25"/>
    <mergeCell ref="D26:F26"/>
    <mergeCell ref="D27:F27"/>
    <mergeCell ref="D28:F28"/>
    <mergeCell ref="D21:F21"/>
    <mergeCell ref="D22:F22"/>
    <mergeCell ref="D15:F15"/>
    <mergeCell ref="D16:F16"/>
    <mergeCell ref="D17:F17"/>
    <mergeCell ref="D18:F18"/>
    <mergeCell ref="D19:F19"/>
    <mergeCell ref="D20:F20"/>
    <mergeCell ref="D9:F9"/>
    <mergeCell ref="D10:F10"/>
    <mergeCell ref="D11:F11"/>
    <mergeCell ref="D13:F13"/>
    <mergeCell ref="D14:F14"/>
    <mergeCell ref="D4:F4"/>
    <mergeCell ref="D6:F6"/>
    <mergeCell ref="D12:F12"/>
    <mergeCell ref="D8:F8"/>
    <mergeCell ref="D7:F7"/>
    <mergeCell ref="D5:F5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Cash Flow</vt:lpstr>
      <vt:lpstr>Pool</vt:lpstr>
      <vt:lpstr>Pool Stats</vt:lpstr>
      <vt:lpstr>Box Canon</vt:lpstr>
      <vt:lpstr>Box Cañon JE</vt:lpstr>
      <vt:lpstr>POOL JE</vt:lpstr>
      <vt:lpstr>'Box Canon'!Print_Area</vt:lpstr>
      <vt:lpstr>'Box Cañon JE'!Print_Area</vt:lpstr>
      <vt:lpstr>Pool!Print_Area</vt:lpstr>
      <vt:lpstr>'POOL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2022-07-08T17:27:38Z</cp:lastPrinted>
  <dcterms:created xsi:type="dcterms:W3CDTF">2017-08-14T15:26:56Z</dcterms:created>
  <dcterms:modified xsi:type="dcterms:W3CDTF">2022-12-08T18:02:56Z</dcterms:modified>
</cp:coreProperties>
</file>