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4\"/>
    </mc:Choice>
  </mc:AlternateContent>
  <bookViews>
    <workbookView xWindow="0" yWindow="0" windowWidth="20490" windowHeight="8340" activeTab="7"/>
  </bookViews>
  <sheets>
    <sheet name="Cash Flow" sheetId="2" r:id="rId1"/>
    <sheet name="Pool" sheetId="3" r:id="rId2"/>
    <sheet name="Pool Stats" sheetId="8" r:id="rId3"/>
    <sheet name="Box Canon" sheetId="9" r:id="rId4"/>
    <sheet name="Visitor Center" sheetId="10" r:id="rId5"/>
    <sheet name="POOL JE" sheetId="5" r:id="rId6"/>
    <sheet name="Box Cañon JE" sheetId="7" r:id="rId7"/>
    <sheet name="Visitor Center JE" sheetId="11" r:id="rId8"/>
  </sheets>
  <externalReferences>
    <externalReference r:id="rId9"/>
  </externalReferences>
  <definedNames>
    <definedName name="_xlnm.Print_Area" localSheetId="3">'Box Canon'!$A$2:$AH$46</definedName>
    <definedName name="_xlnm.Print_Area" localSheetId="6">'Box Cañon JE'!$A$1:$D$33</definedName>
    <definedName name="_xlnm.Print_Area" localSheetId="1">Pool!$A$1:$AH$54</definedName>
    <definedName name="_xlnm.Print_Area" localSheetId="5">'POOL JE'!$A$1:$C$57</definedName>
    <definedName name="_xlnm.Print_Area" localSheetId="4">'Visitor Center'!$A$1:$AH$16</definedName>
    <definedName name="_xlnm.Print_Area" localSheetId="7">'Visitor Center JE'!$A$1:$D$20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4" i="9" l="1"/>
  <c r="V4" i="9"/>
  <c r="AL34" i="3"/>
  <c r="AL45" i="3"/>
  <c r="AM45" i="3"/>
  <c r="AM34" i="3" s="1"/>
  <c r="AM33" i="3"/>
  <c r="AL33" i="3"/>
  <c r="AM29" i="9"/>
  <c r="AM21" i="9" s="1"/>
  <c r="AL29" i="9"/>
  <c r="AL21" i="9"/>
  <c r="AL20" i="9"/>
  <c r="AM20" i="9"/>
  <c r="AD44" i="9"/>
  <c r="AD43" i="9"/>
  <c r="AD41" i="9"/>
  <c r="AD40" i="9"/>
  <c r="AD39" i="9"/>
  <c r="AF44" i="9"/>
  <c r="AF43" i="9"/>
  <c r="AF41" i="9"/>
  <c r="AF40" i="9"/>
  <c r="AF39" i="9"/>
  <c r="AE44" i="9"/>
  <c r="AE43" i="9"/>
  <c r="AE42" i="9"/>
  <c r="AE41" i="9"/>
  <c r="AE40" i="9"/>
  <c r="AE39" i="9"/>
  <c r="AM9" i="10"/>
  <c r="AL9" i="10"/>
  <c r="V9" i="10"/>
  <c r="AL10" i="10" l="1"/>
  <c r="AM15" i="10"/>
  <c r="AM10" i="10" s="1"/>
  <c r="AL15" i="10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C30" i="9"/>
  <c r="AC44" i="9"/>
  <c r="AC43" i="9"/>
  <c r="AC41" i="9"/>
  <c r="AC40" i="9"/>
  <c r="AC39" i="9"/>
  <c r="AB44" i="9"/>
  <c r="AB43" i="9"/>
  <c r="AB41" i="9"/>
  <c r="AB40" i="9"/>
  <c r="AB39" i="9"/>
  <c r="AA46" i="9"/>
  <c r="AA44" i="9"/>
  <c r="AA43" i="9"/>
  <c r="AA41" i="9"/>
  <c r="AA39" i="9"/>
  <c r="AA40" i="9"/>
  <c r="Z44" i="9"/>
  <c r="Z43" i="9"/>
  <c r="Z41" i="9"/>
  <c r="Z40" i="9"/>
  <c r="Z39" i="9"/>
  <c r="Y44" i="9"/>
  <c r="Y43" i="9"/>
  <c r="Y41" i="9"/>
  <c r="Y40" i="9"/>
  <c r="Y39" i="9"/>
  <c r="Y18" i="9"/>
  <c r="X44" i="9"/>
  <c r="X43" i="9"/>
  <c r="X41" i="9"/>
  <c r="X40" i="9"/>
  <c r="X39" i="9"/>
  <c r="W44" i="9"/>
  <c r="W43" i="9"/>
  <c r="W41" i="9"/>
  <c r="W40" i="9"/>
  <c r="W39" i="9"/>
  <c r="W12" i="9"/>
  <c r="W9" i="9"/>
  <c r="V44" i="9"/>
  <c r="V43" i="9"/>
  <c r="V41" i="9"/>
  <c r="V40" i="9"/>
  <c r="V39" i="9"/>
  <c r="U44" i="9"/>
  <c r="U43" i="9"/>
  <c r="U40" i="9"/>
  <c r="U39" i="9"/>
  <c r="T44" i="9"/>
  <c r="T43" i="9"/>
  <c r="T41" i="9"/>
  <c r="T40" i="9"/>
  <c r="T39" i="9"/>
  <c r="S44" i="9"/>
  <c r="S43" i="9"/>
  <c r="S41" i="9"/>
  <c r="S40" i="9"/>
  <c r="S39" i="9"/>
  <c r="R44" i="9"/>
  <c r="R43" i="9"/>
  <c r="R41" i="9"/>
  <c r="R40" i="9"/>
  <c r="R39" i="9"/>
  <c r="Q44" i="9"/>
  <c r="Q43" i="9"/>
  <c r="Q41" i="9"/>
  <c r="Q40" i="9"/>
  <c r="Q39" i="9"/>
  <c r="P44" i="9"/>
  <c r="P43" i="9"/>
  <c r="P41" i="9"/>
  <c r="P40" i="9"/>
  <c r="P39" i="9"/>
  <c r="O44" i="9"/>
  <c r="O43" i="9"/>
  <c r="O40" i="9"/>
  <c r="O39" i="9"/>
  <c r="I7" i="10" l="1"/>
  <c r="I13" i="10"/>
  <c r="F43" i="9" l="1"/>
  <c r="H44" i="9"/>
  <c r="H43" i="9"/>
  <c r="H40" i="9"/>
  <c r="H39" i="9"/>
  <c r="F44" i="9"/>
  <c r="F41" i="9"/>
  <c r="F40" i="9"/>
  <c r="F39" i="9"/>
  <c r="G44" i="9"/>
  <c r="G43" i="9"/>
  <c r="G41" i="9"/>
  <c r="G40" i="9"/>
  <c r="G39" i="9"/>
  <c r="E44" i="9"/>
  <c r="E43" i="9"/>
  <c r="E41" i="9"/>
  <c r="E40" i="9"/>
  <c r="E39" i="9"/>
  <c r="K44" i="9"/>
  <c r="K43" i="9"/>
  <c r="K41" i="9"/>
  <c r="K40" i="9"/>
  <c r="K39" i="9"/>
  <c r="I44" i="9"/>
  <c r="I43" i="9"/>
  <c r="I41" i="9"/>
  <c r="I40" i="9"/>
  <c r="I39" i="9"/>
  <c r="J44" i="9"/>
  <c r="J43" i="9"/>
  <c r="J41" i="9"/>
  <c r="J40" i="9"/>
  <c r="J39" i="9"/>
  <c r="D44" i="9"/>
  <c r="D43" i="9"/>
  <c r="D41" i="9"/>
  <c r="D40" i="9"/>
  <c r="D39" i="9"/>
  <c r="C44" i="9"/>
  <c r="C43" i="9"/>
  <c r="C41" i="9"/>
  <c r="C40" i="9"/>
  <c r="C39" i="9"/>
  <c r="L44" i="9"/>
  <c r="L43" i="9"/>
  <c r="L41" i="9"/>
  <c r="L40" i="9"/>
  <c r="L39" i="9"/>
  <c r="N44" i="9"/>
  <c r="N43" i="9"/>
  <c r="N41" i="9"/>
  <c r="N40" i="9"/>
  <c r="N39" i="9"/>
  <c r="M44" i="9"/>
  <c r="M43" i="9"/>
  <c r="M41" i="9"/>
  <c r="M40" i="9"/>
  <c r="M39" i="9"/>
  <c r="M2" i="9"/>
  <c r="AM35" i="3" l="1"/>
  <c r="AL35" i="3"/>
  <c r="AM22" i="9"/>
  <c r="AL22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C27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C26" i="9"/>
  <c r="AH5" i="10"/>
  <c r="C5" i="11" s="1"/>
  <c r="AH7" i="10" l="1"/>
  <c r="AH6" i="10"/>
  <c r="C6" i="11" s="1"/>
  <c r="D16" i="10" l="1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C16" i="10"/>
  <c r="AG30" i="9"/>
  <c r="AL37" i="3" l="1"/>
  <c r="AH22" i="9"/>
  <c r="AH21" i="9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G52" i="3"/>
  <c r="D46" i="3" l="1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C46" i="3"/>
  <c r="AH16" i="3" l="1"/>
  <c r="AH17" i="3"/>
  <c r="H2" i="8" l="1"/>
  <c r="H3" i="8"/>
  <c r="H4" i="8"/>
  <c r="H5" i="8"/>
  <c r="H6" i="8"/>
  <c r="H7" i="8"/>
  <c r="H8" i="8"/>
  <c r="H9" i="8"/>
  <c r="H10" i="8"/>
  <c r="H11" i="8"/>
  <c r="H12" i="8"/>
  <c r="H14" i="8"/>
  <c r="H16" i="8"/>
  <c r="H17" i="8"/>
  <c r="H18" i="8"/>
  <c r="H19" i="8"/>
  <c r="H20" i="8"/>
  <c r="H21" i="8"/>
  <c r="H22" i="8"/>
  <c r="H26" i="8"/>
  <c r="H28" i="8"/>
  <c r="H29" i="8"/>
  <c r="H30" i="8"/>
  <c r="H31" i="8"/>
  <c r="H32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7" i="8"/>
  <c r="C29" i="8"/>
  <c r="C30" i="8"/>
  <c r="C31" i="8"/>
  <c r="C32" i="8"/>
  <c r="C19" i="7"/>
  <c r="C15" i="11"/>
  <c r="C54" i="3"/>
  <c r="C50" i="3"/>
  <c r="C52" i="3" s="1"/>
  <c r="D24" i="9" l="1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C24" i="9"/>
  <c r="AH7" i="3" l="1"/>
  <c r="AH6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4" i="11"/>
  <c r="C13" i="11"/>
  <c r="C12" i="11"/>
  <c r="C11" i="11"/>
  <c r="B1" i="11"/>
  <c r="B1" i="10"/>
  <c r="AH15" i="10"/>
  <c r="AG13" i="10"/>
  <c r="AF13" i="10"/>
  <c r="AE13" i="10"/>
  <c r="AD13" i="10"/>
  <c r="AC13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H13" i="10"/>
  <c r="G13" i="10"/>
  <c r="F13" i="10"/>
  <c r="E13" i="10"/>
  <c r="D13" i="10"/>
  <c r="C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H10" i="10"/>
  <c r="AH9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H7" i="10"/>
  <c r="G7" i="10"/>
  <c r="F7" i="10"/>
  <c r="E7" i="10"/>
  <c r="D7" i="10"/>
  <c r="C7" i="10"/>
  <c r="AH4" i="10"/>
  <c r="C4" i="11" s="1"/>
  <c r="AH3" i="10"/>
  <c r="C3" i="11" s="1"/>
  <c r="C6" i="5" l="1"/>
  <c r="D18" i="11"/>
  <c r="C41" i="5"/>
  <c r="AL11" i="10"/>
  <c r="AH11" i="10"/>
  <c r="AH13" i="10"/>
  <c r="AL13" i="10" s="1"/>
  <c r="C7" i="11" s="1"/>
  <c r="D9" i="11" s="1"/>
  <c r="AM14" i="10" l="1"/>
  <c r="AN14" i="10" s="1"/>
  <c r="AN11" i="10"/>
  <c r="E13" i="11"/>
  <c r="C18" i="7"/>
  <c r="C17" i="7"/>
  <c r="AH29" i="9" l="1"/>
  <c r="AG41" i="9" l="1"/>
  <c r="H34" i="9"/>
  <c r="N34" i="9"/>
  <c r="U34" i="9"/>
  <c r="AG34" i="9"/>
  <c r="AG33" i="9"/>
  <c r="AH34" i="9" l="1"/>
  <c r="AH41" i="9"/>
  <c r="AH45" i="3"/>
  <c r="AJ34" i="9" l="1"/>
  <c r="C27" i="7" s="1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40" i="3" l="1"/>
  <c r="E40" i="3"/>
  <c r="F40" i="3"/>
  <c r="G40" i="3"/>
  <c r="H40" i="3"/>
  <c r="H24" i="8" s="1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0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AG43" i="9"/>
  <c r="AG42" i="9"/>
  <c r="AF42" i="9"/>
  <c r="AD42" i="9"/>
  <c r="AC42" i="9"/>
  <c r="AA42" i="9"/>
  <c r="Z42" i="9"/>
  <c r="Y42" i="9"/>
  <c r="X42" i="9"/>
  <c r="V42" i="9"/>
  <c r="U42" i="9"/>
  <c r="T42" i="9"/>
  <c r="S42" i="9"/>
  <c r="R42" i="9"/>
  <c r="Q42" i="9"/>
  <c r="P42" i="9"/>
  <c r="M42" i="9"/>
  <c r="L42" i="9"/>
  <c r="K42" i="9"/>
  <c r="J42" i="9"/>
  <c r="I42" i="9"/>
  <c r="G42" i="9"/>
  <c r="F42" i="9"/>
  <c r="E42" i="9"/>
  <c r="D42" i="9"/>
  <c r="C42" i="9"/>
  <c r="AG40" i="9"/>
  <c r="AG39" i="9"/>
  <c r="AG32" i="9"/>
  <c r="D35" i="9"/>
  <c r="F35" i="9"/>
  <c r="G35" i="9"/>
  <c r="I35" i="9"/>
  <c r="J35" i="9"/>
  <c r="K35" i="9"/>
  <c r="L35" i="9"/>
  <c r="N35" i="9"/>
  <c r="O35" i="9"/>
  <c r="Q35" i="9"/>
  <c r="R35" i="9"/>
  <c r="S35" i="9"/>
  <c r="U35" i="9"/>
  <c r="V35" i="9"/>
  <c r="W35" i="9"/>
  <c r="X35" i="9"/>
  <c r="Y35" i="9"/>
  <c r="Y38" i="9" s="1"/>
  <c r="Z35" i="9"/>
  <c r="AA35" i="9"/>
  <c r="AB35" i="9"/>
  <c r="AC35" i="9"/>
  <c r="AD35" i="9"/>
  <c r="AE35" i="9"/>
  <c r="AF35" i="9"/>
  <c r="AG35" i="9"/>
  <c r="AG36" i="9"/>
  <c r="AG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AH18" i="9"/>
  <c r="A19" i="9"/>
  <c r="AH19" i="9"/>
  <c r="A20" i="9"/>
  <c r="AH20" i="9"/>
  <c r="A21" i="9"/>
  <c r="AH23" i="9"/>
  <c r="C6" i="7" l="1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T38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21" i="3" l="1"/>
  <c r="C15" i="5" s="1"/>
  <c r="AH8" i="3"/>
  <c r="C7" i="5" s="1"/>
  <c r="AH10" i="3"/>
  <c r="C8" i="5" s="1"/>
  <c r="AH11" i="3"/>
  <c r="C26" i="5" s="1"/>
  <c r="AH12" i="3"/>
  <c r="C27" i="5" s="1"/>
  <c r="AH13" i="3"/>
  <c r="C28" i="5" s="1"/>
  <c r="B1" i="3" l="1"/>
  <c r="AH29" i="3" l="1"/>
  <c r="AH5" i="3" l="1"/>
  <c r="M2" i="8" l="1" a="1"/>
  <c r="M5" i="8" s="1"/>
  <c r="L2" i="8" a="1"/>
  <c r="L3" i="8" s="1"/>
  <c r="K2" i="8" a="1"/>
  <c r="K4" i="8" s="1"/>
  <c r="I2" i="8" a="1"/>
  <c r="I5" i="8" s="1"/>
  <c r="G2" i="8" a="1"/>
  <c r="G5" i="8" s="1"/>
  <c r="F2" i="8" a="1"/>
  <c r="F5" i="8" s="1"/>
  <c r="E2" i="8" a="1"/>
  <c r="E5" i="8" s="1"/>
  <c r="D2" i="8" a="1"/>
  <c r="D2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A2" i="8"/>
  <c r="A3" i="8" s="1"/>
  <c r="B3" i="8" l="1"/>
  <c r="A4" i="8"/>
  <c r="B2" i="8"/>
  <c r="I34" i="8" l="1"/>
  <c r="B4" i="8"/>
  <c r="A5" i="8"/>
  <c r="G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60" i="3" l="1"/>
  <c r="AJ60" i="3" s="1"/>
  <c r="C57" i="5" s="1"/>
  <c r="AH59" i="3"/>
  <c r="AJ59" i="3" s="1"/>
  <c r="M34" i="8" s="1"/>
  <c r="AH58" i="3"/>
  <c r="AJ58" i="3" s="1"/>
  <c r="L34" i="8" s="1"/>
  <c r="AH57" i="3"/>
  <c r="AJ57" i="3" s="1"/>
  <c r="K34" i="8" s="1"/>
  <c r="C56" i="5" l="1"/>
  <c r="C55" i="5"/>
  <c r="C54" i="5"/>
  <c r="AH30" i="3" l="1"/>
  <c r="C40" i="5" l="1"/>
  <c r="C38" i="5"/>
  <c r="C36" i="5"/>
  <c r="C37" i="5" l="1"/>
  <c r="C35" i="5" l="1"/>
  <c r="AH54" i="3" l="1"/>
  <c r="AJ54" i="3" s="1"/>
  <c r="C51" i="5" s="1"/>
  <c r="B8" i="2"/>
  <c r="B1" i="7" l="1"/>
  <c r="C11" i="5" l="1"/>
  <c r="AH18" i="3"/>
  <c r="C12" i="5" s="1"/>
  <c r="D50" i="3" l="1"/>
  <c r="D52" i="3" s="1"/>
  <c r="E50" i="3"/>
  <c r="E52" i="3" s="1"/>
  <c r="F50" i="3"/>
  <c r="F52" i="3" s="1"/>
  <c r="G50" i="3"/>
  <c r="G52" i="3" s="1"/>
  <c r="H50" i="3"/>
  <c r="H52" i="3" s="1"/>
  <c r="I50" i="3"/>
  <c r="I52" i="3" s="1"/>
  <c r="J50" i="3"/>
  <c r="J52" i="3" s="1"/>
  <c r="K50" i="3"/>
  <c r="K52" i="3" s="1"/>
  <c r="L50" i="3"/>
  <c r="L52" i="3" s="1"/>
  <c r="M50" i="3"/>
  <c r="M52" i="3" s="1"/>
  <c r="N50" i="3"/>
  <c r="N52" i="3" s="1"/>
  <c r="O50" i="3"/>
  <c r="O52" i="3" s="1"/>
  <c r="P50" i="3"/>
  <c r="P52" i="3" s="1"/>
  <c r="Q50" i="3"/>
  <c r="Q52" i="3" s="1"/>
  <c r="R50" i="3"/>
  <c r="R52" i="3" s="1"/>
  <c r="S50" i="3"/>
  <c r="S52" i="3" s="1"/>
  <c r="T50" i="3"/>
  <c r="T52" i="3" s="1"/>
  <c r="U50" i="3"/>
  <c r="U52" i="3" s="1"/>
  <c r="V50" i="3"/>
  <c r="V52" i="3" s="1"/>
  <c r="W50" i="3"/>
  <c r="W52" i="3" s="1"/>
  <c r="X50" i="3"/>
  <c r="X52" i="3" s="1"/>
  <c r="Y50" i="3"/>
  <c r="Y52" i="3" s="1"/>
  <c r="Z50" i="3"/>
  <c r="Z52" i="3" s="1"/>
  <c r="AA50" i="3"/>
  <c r="AA52" i="3" s="1"/>
  <c r="AB50" i="3"/>
  <c r="AB52" i="3" s="1"/>
  <c r="AC50" i="3"/>
  <c r="AC52" i="3" s="1"/>
  <c r="AD50" i="3"/>
  <c r="AD52" i="3" s="1"/>
  <c r="AE50" i="3"/>
  <c r="AE52" i="3" s="1"/>
  <c r="AF50" i="3"/>
  <c r="AF52" i="3" s="1"/>
  <c r="AG50" i="3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8" i="3"/>
  <c r="AH47" i="3"/>
  <c r="AJ47" i="3" s="1"/>
  <c r="AH40" i="3"/>
  <c r="AH34" i="3"/>
  <c r="AH35" i="3"/>
  <c r="C39" i="5" s="1"/>
  <c r="AH36" i="3"/>
  <c r="AH37" i="3"/>
  <c r="AH38" i="3"/>
  <c r="AL38" i="3" s="1"/>
  <c r="C44" i="5" s="1"/>
  <c r="C43" i="5" l="1"/>
  <c r="AL39" i="3"/>
  <c r="AJ48" i="3"/>
  <c r="C48" i="5" s="1"/>
  <c r="O34" i="8"/>
  <c r="C47" i="5"/>
  <c r="C49" i="5" l="1"/>
  <c r="AH52" i="3"/>
  <c r="AJ52" i="3" s="1"/>
  <c r="AH50" i="3"/>
  <c r="AJ50" i="3" s="1"/>
  <c r="AH26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3" i="3" l="1"/>
  <c r="F43" i="3"/>
  <c r="G43" i="3"/>
  <c r="H43" i="3"/>
  <c r="H27" i="8" s="1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D39" i="3"/>
  <c r="D41" i="3" s="1"/>
  <c r="E39" i="3"/>
  <c r="E41" i="3" s="1"/>
  <c r="F39" i="3"/>
  <c r="F41" i="3" s="1"/>
  <c r="G39" i="3"/>
  <c r="G41" i="3" s="1"/>
  <c r="H39" i="3"/>
  <c r="I39" i="3"/>
  <c r="I41" i="3" s="1"/>
  <c r="J39" i="3"/>
  <c r="J41" i="3" s="1"/>
  <c r="K39" i="3"/>
  <c r="K41" i="3" s="1"/>
  <c r="L39" i="3"/>
  <c r="L41" i="3" s="1"/>
  <c r="M39" i="3"/>
  <c r="M41" i="3" s="1"/>
  <c r="N39" i="3"/>
  <c r="N41" i="3" s="1"/>
  <c r="O39" i="3"/>
  <c r="O41" i="3" s="1"/>
  <c r="P39" i="3"/>
  <c r="P41" i="3" s="1"/>
  <c r="Q39" i="3"/>
  <c r="Q41" i="3" s="1"/>
  <c r="R39" i="3"/>
  <c r="R41" i="3" s="1"/>
  <c r="S39" i="3"/>
  <c r="S41" i="3" s="1"/>
  <c r="T39" i="3"/>
  <c r="T41" i="3" s="1"/>
  <c r="U39" i="3"/>
  <c r="U41" i="3" s="1"/>
  <c r="V39" i="3"/>
  <c r="V41" i="3" s="1"/>
  <c r="W39" i="3"/>
  <c r="W41" i="3" s="1"/>
  <c r="X39" i="3"/>
  <c r="X41" i="3" s="1"/>
  <c r="Y39" i="3"/>
  <c r="Y41" i="3" s="1"/>
  <c r="Z39" i="3"/>
  <c r="Z41" i="3" s="1"/>
  <c r="AA39" i="3"/>
  <c r="AA41" i="3" s="1"/>
  <c r="AB39" i="3"/>
  <c r="AB41" i="3" s="1"/>
  <c r="AC39" i="3"/>
  <c r="AC41" i="3" s="1"/>
  <c r="AD39" i="3"/>
  <c r="AD41" i="3" s="1"/>
  <c r="AE39" i="3"/>
  <c r="AE41" i="3" s="1"/>
  <c r="AF39" i="3"/>
  <c r="AF41" i="3" s="1"/>
  <c r="AG39" i="3"/>
  <c r="AG41" i="3" s="1"/>
  <c r="D29" i="3"/>
  <c r="D31" i="3" s="1"/>
  <c r="E29" i="3"/>
  <c r="E31" i="3" s="1"/>
  <c r="F29" i="3"/>
  <c r="F31" i="3" s="1"/>
  <c r="G29" i="3"/>
  <c r="G31" i="3" s="1"/>
  <c r="H29" i="3"/>
  <c r="I29" i="3"/>
  <c r="I31" i="3" s="1"/>
  <c r="J29" i="3"/>
  <c r="J31" i="3" s="1"/>
  <c r="K29" i="3"/>
  <c r="K31" i="3" s="1"/>
  <c r="L29" i="3"/>
  <c r="L31" i="3" s="1"/>
  <c r="M29" i="3"/>
  <c r="M31" i="3" s="1"/>
  <c r="N29" i="3"/>
  <c r="N31" i="3" s="1"/>
  <c r="O29" i="3"/>
  <c r="O31" i="3" s="1"/>
  <c r="P29" i="3"/>
  <c r="P31" i="3" s="1"/>
  <c r="Q29" i="3"/>
  <c r="Q31" i="3" s="1"/>
  <c r="R29" i="3"/>
  <c r="R31" i="3" s="1"/>
  <c r="S29" i="3"/>
  <c r="S31" i="3" s="1"/>
  <c r="T29" i="3"/>
  <c r="T31" i="3" s="1"/>
  <c r="U29" i="3"/>
  <c r="U31" i="3" s="1"/>
  <c r="V29" i="3"/>
  <c r="V31" i="3" s="1"/>
  <c r="W29" i="3"/>
  <c r="W31" i="3" s="1"/>
  <c r="X29" i="3"/>
  <c r="X31" i="3" s="1"/>
  <c r="Y29" i="3"/>
  <c r="Y31" i="3" s="1"/>
  <c r="Z29" i="3"/>
  <c r="Z31" i="3" s="1"/>
  <c r="AA29" i="3"/>
  <c r="AA31" i="3" s="1"/>
  <c r="AB29" i="3"/>
  <c r="AB31" i="3" s="1"/>
  <c r="AC29" i="3"/>
  <c r="AC31" i="3" s="1"/>
  <c r="AD29" i="3"/>
  <c r="AD31" i="3" s="1"/>
  <c r="AE29" i="3"/>
  <c r="AE31" i="3" s="1"/>
  <c r="AF29" i="3"/>
  <c r="AF31" i="3" s="1"/>
  <c r="AG29" i="3"/>
  <c r="AG31" i="3" s="1"/>
  <c r="AH33" i="3"/>
  <c r="AH4" i="3"/>
  <c r="C4" i="5" s="1"/>
  <c r="AH9" i="3"/>
  <c r="C5" i="5" s="1"/>
  <c r="AH14" i="3"/>
  <c r="C9" i="5" s="1"/>
  <c r="AH15" i="3"/>
  <c r="C10" i="5" s="1"/>
  <c r="AH19" i="3"/>
  <c r="C13" i="5" s="1"/>
  <c r="AH20" i="3"/>
  <c r="C14" i="5" s="1"/>
  <c r="AH22" i="3"/>
  <c r="C16" i="5" s="1"/>
  <c r="AH23" i="3"/>
  <c r="C17" i="5" s="1"/>
  <c r="AH24" i="3"/>
  <c r="C18" i="5" s="1"/>
  <c r="AH25" i="3"/>
  <c r="C19" i="5" s="1"/>
  <c r="AH27" i="3"/>
  <c r="C21" i="5" s="1"/>
  <c r="AH28" i="3"/>
  <c r="C29" i="5" s="1"/>
  <c r="AH3" i="3"/>
  <c r="C25" i="5" s="1"/>
  <c r="C43" i="3"/>
  <c r="C29" i="3"/>
  <c r="R40" i="2"/>
  <c r="Q40" i="2"/>
  <c r="P40" i="2"/>
  <c r="O40" i="2"/>
  <c r="R42" i="2" s="1"/>
  <c r="M40" i="2"/>
  <c r="L40" i="2"/>
  <c r="K40" i="2"/>
  <c r="J40" i="2"/>
  <c r="F40" i="2"/>
  <c r="E40" i="2"/>
  <c r="A9" i="2"/>
  <c r="C22" i="5" l="1"/>
  <c r="H41" i="3"/>
  <c r="H25" i="8" s="1"/>
  <c r="H23" i="8"/>
  <c r="C31" i="3"/>
  <c r="C28" i="8" s="1"/>
  <c r="C26" i="8"/>
  <c r="H31" i="3"/>
  <c r="H15" i="8" s="1"/>
  <c r="H13" i="8"/>
  <c r="C30" i="5"/>
  <c r="A10" i="2"/>
  <c r="B9" i="2"/>
  <c r="C40" i="2"/>
  <c r="G40" i="2"/>
  <c r="E43" i="3"/>
  <c r="AH43" i="3" s="1"/>
  <c r="AH31" i="3"/>
  <c r="C39" i="3"/>
  <c r="O42" i="2"/>
  <c r="Q42" i="2"/>
  <c r="C34" i="8" l="1"/>
  <c r="H34" i="8"/>
  <c r="C32" i="5"/>
  <c r="A11" i="2"/>
  <c r="B10" i="2"/>
  <c r="AL43" i="3"/>
  <c r="AH39" i="3"/>
  <c r="C41" i="3"/>
  <c r="AH41" i="3" s="1"/>
  <c r="AN39" i="3" l="1"/>
  <c r="C42" i="5"/>
  <c r="C45" i="5" s="1"/>
  <c r="AM44" i="3"/>
  <c r="AN44" i="3" s="1"/>
  <c r="AJ41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10" l="1" a="1"/>
  <c r="C1" i="9" a="1"/>
  <c r="C1" i="3" a="1"/>
  <c r="AG1" i="10" l="1"/>
  <c r="R1" i="10"/>
  <c r="T1" i="10"/>
  <c r="V1" i="10"/>
  <c r="X1" i="10"/>
  <c r="AB1" i="10"/>
  <c r="AD1" i="10"/>
  <c r="AF1" i="10"/>
  <c r="G1" i="10"/>
  <c r="Z1" i="10"/>
  <c r="K1" i="10"/>
  <c r="M1" i="10"/>
  <c r="O1" i="10"/>
  <c r="Q1" i="10"/>
  <c r="AA1" i="10"/>
  <c r="AE1" i="10"/>
  <c r="C1" i="10"/>
  <c r="S1" i="10"/>
  <c r="U1" i="10"/>
  <c r="W1" i="10"/>
  <c r="Y1" i="10"/>
  <c r="AC1" i="10"/>
  <c r="I1" i="10"/>
  <c r="D1" i="10"/>
  <c r="F1" i="10"/>
  <c r="H1" i="10"/>
  <c r="J1" i="10"/>
  <c r="L1" i="10"/>
  <c r="N1" i="10"/>
  <c r="P1" i="10"/>
  <c r="E1" i="10"/>
  <c r="AG1" i="9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MartyJo Davis</author>
    <author>Julie Lancaster</author>
  </authors>
  <commentList>
    <comment ref="AN3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Sheri H
Reese W 
Lauren M
Kathy C
Deposit short $141.50 from total of all cash receipt reports. Two reports for Reese, one printed too early, one printed for only snack shack, making Reese over by $230.50, technically, but $186 of that was counted twice and $44.50 was missing from the reports. Not sure who was $1.50 over</t>
        </r>
      </text>
    </comment>
    <comment ref="D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Lauren S $1.00 over
Laura P $25.50 short
Kathy C
Sam W
Sara W</t>
        </r>
      </text>
    </comment>
    <comment ref="E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Kathy C
Reese W $26.25 over
Sara W
Dee W
Lauren M</t>
        </r>
      </text>
    </comment>
    <comment ref="F43" authorId="1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Lauren S $4.00 short
Sam W
Sara W $14.00 over
Glynn W $0.92 over
Kathy C $8.90 short</t>
        </r>
      </text>
    </comment>
    <comment ref="G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Glynn W $1.37 short
Lauren S
Lilly G</t>
        </r>
      </text>
    </comment>
    <comment ref="H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Reese W
Sam W
Lilly G
Sara W
Steve S</t>
        </r>
      </text>
    </comment>
    <comment ref="I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Reese W $5.50 over
Steve S
Kathy C
Sam W
Dee W</t>
        </r>
      </text>
    </comment>
    <comment ref="J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Kathy C
Sara W
Sam W
Steve S</t>
        </r>
      </text>
    </comment>
    <comment ref="K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S
Sara W
Sam W
Lilly G
Kathy C $6.10 over</t>
        </r>
      </text>
    </comment>
    <comment ref="L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Peg R
Reese W
Lauren S
Kathy C $10.00 over</t>
        </r>
      </text>
    </comment>
    <comment ref="M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Sam W $13.50 short
Lauren S
Lilly G
Glynn W $7.20 over
Sara W</t>
        </r>
      </text>
    </comment>
    <comment ref="N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S $0.50 over
Lilly G
Peg R
Glynn W $0.51 over
Sara W</t>
        </r>
      </text>
    </comment>
    <comment ref="O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Laura P
Sam W
Kathy C $4.00 short
Steve S
Peg R</t>
        </r>
      </text>
    </comment>
    <comment ref="P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Sam W
Reese W
Kathy C $4.40 over
Steve S
Dee W</t>
        </r>
      </text>
    </comment>
    <comment ref="Q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Kathy C $1.50 short
Steve S $0.20 short
Peg R 
Lauren S $0.25 over
Sara W $7.00 over</t>
        </r>
      </text>
    </comment>
    <comment ref="R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Reese W $19.50 short
Kathy C $8.50 short
Lauren S 
Sam W $0.01 over</t>
        </r>
      </text>
    </comment>
    <comment ref="S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$1.30 over
Sara W $0.24 short
Reese W $2.00 over
Lauren S $35.00 short</t>
        </r>
      </text>
    </comment>
    <comment ref="T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S
Glynn W $6.30 short
Sara W $12.40 over
Sam W $0.99 short</t>
        </r>
      </text>
    </comment>
    <comment ref="U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Lilly G
Lauren S &amp; Olivia C
Peg R
Glynn W $0.80 short
Kathy C $1.10 over</t>
        </r>
      </text>
    </comment>
    <comment ref="V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Sam W $1.00 over
Reese W $24.00 short
Sara W $9.00 over
Steve S
Peg R</t>
        </r>
      </text>
    </comment>
    <comment ref="W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Steve S
Lilly G
Lauren M
Andrew K
Kathy C $0.25 over </t>
        </r>
      </text>
    </comment>
    <comment ref="X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M $0.36 short
Andrew K
Laura P $3.95 over
Kathy C $0.10 short</t>
        </r>
      </text>
    </comment>
    <comment ref="Y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Andrew K $0.10 over
Reese W $11.00 over
Sara W $6.40 over
Sam W
Kathy C $10.35 over</t>
        </r>
      </text>
    </comment>
    <comment ref="Z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Peg R $53.20 short
Sara W $5.00 over
Andrew K 
Kathy C $2.06 over</t>
        </r>
      </text>
    </comment>
    <comment ref="AA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
Glynn W $5.90 over
Lilly G</t>
        </r>
      </text>
    </comment>
    <comment ref="AB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Lauren M
Kathy C $1.00 over
Peg R $1.10 over
Lilly G</t>
        </r>
      </text>
    </comment>
    <comment ref="AC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Sara W $3.00 over
Lauren M
Peg R
Andrew K
Kathy C</t>
        </r>
      </text>
    </comment>
    <comment ref="AD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Kathy C $4.45 short
Andrew K
Dee W
Lauren M $0.25 over
Lilly G</t>
        </r>
      </text>
    </comment>
    <comment ref="AE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Reese W
Laura P
Andrew K
Kathy C $27.05 short
Glynn W $101.10 short
Sheri processed $26 refund on her drawer</t>
        </r>
      </text>
    </comment>
    <comment ref="AF43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Laura P
Yaretzi B $20.00 over
Andrew K
Reese W $4.75 over
Kathy C $20.00 over</t>
        </r>
      </text>
    </comment>
    <comment ref="AN43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2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  <author>Julie Lancaster</author>
  </authors>
  <commentList>
    <comment ref="AN2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K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$38 of refunds processed, but deposit is over by $38?</t>
        </r>
      </text>
    </comment>
    <comment ref="P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$14 rung up to ext cc, nothing ran through external cc machine</t>
        </r>
      </text>
    </comment>
    <comment ref="V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ext cc transaction came through with nothing rung up in ActiveNet</t>
        </r>
      </text>
    </comment>
    <comment ref="Y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computer went down, Glynn took $175 cash sales during that time</t>
        </r>
      </text>
    </comment>
    <comment ref="AB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C26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D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L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P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S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T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W27" authorId="1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gave customer $21 cash refund on $21.23 difference for wrong price rung up, but then deposit was over by $9.00</t>
        </r>
      </text>
    </comment>
  </commentList>
</comments>
</file>

<file path=xl/comments4.xml><?xml version="1.0" encoding="utf-8"?>
<comments xmlns="http://schemas.openxmlformats.org/spreadsheetml/2006/main">
  <authors>
    <author>Julie Lancaster</author>
    <author>MartyJo Davis</author>
  </authors>
  <commentList>
    <comment ref="V13" authorId="0" shapeId="0">
      <text>
        <r>
          <rPr>
            <b/>
            <sz val="9"/>
            <color indexed="81"/>
            <rFont val="Tahoma"/>
            <charset val="1"/>
          </rPr>
          <t>Julie Lancaster:</t>
        </r>
        <r>
          <rPr>
            <sz val="9"/>
            <color indexed="81"/>
            <rFont val="Tahoma"/>
            <charset val="1"/>
          </rPr>
          <t xml:space="preserve">
true over/short cash</t>
        </r>
      </text>
    </comment>
    <comment ref="AN1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47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<sst xmlns="http://schemas.openxmlformats.org/spreadsheetml/2006/main" count="532" uniqueCount="236">
  <si>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</si>
  <si>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</si>
  <si>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</si>
  <si>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</si>
  <si>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</si>
  <si>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</si>
  <si>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</si>
  <si>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</si>
  <si>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</si>
  <si>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</si>
  <si>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</si>
  <si>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</si>
  <si>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</si>
  <si>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</si>
  <si>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</si>
  <si>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</si>
  <si>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</si>
  <si>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</si>
  <si>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</si>
  <si>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</si>
  <si>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</si>
  <si>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</si>
  <si>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</si>
  <si>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</si>
  <si>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</si>
  <si>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</si>
  <si>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</si>
  <si>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</si>
  <si>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</si>
  <si>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</si>
  <si>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</si>
  <si>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</si>
  <si>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</si>
  <si>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</si>
  <si>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</si>
  <si>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</si>
  <si>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</si>
  <si>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</si>
  <si>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</si>
  <si>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</si>
  <si>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</si>
  <si>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</si>
  <si>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</si>
  <si>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</si>
  <si>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</si>
  <si>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</si>
  <si>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</si>
  <si>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</si>
  <si>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</si>
  <si>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</si>
  <si>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</si>
  <si>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</si>
  <si>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</si>
  <si>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</si>
  <si>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</si>
  <si>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</si>
  <si>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</si>
  <si>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</si>
  <si>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</si>
  <si>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</si>
  <si>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</si>
  <si>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</si>
  <si>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</si>
  <si>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</si>
  <si>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</si>
  <si>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</si>
  <si>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</si>
  <si>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</si>
  <si>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</si>
  <si>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</si>
  <si>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</si>
  <si>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</si>
  <si>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</si>
  <si>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</si>
  <si>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</si>
  <si>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</si>
  <si>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</si>
  <si>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</si>
  <si>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</si>
  <si>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</si>
  <si>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</si>
  <si>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</si>
  <si>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</si>
  <si>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</si>
  <si>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</si>
  <si>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</si>
  <si>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</si>
  <si>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</si>
  <si>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</si>
  <si>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</si>
  <si>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</si>
  <si>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</si>
  <si>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</si>
  <si>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</si>
  <si>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</si>
  <si>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</si>
  <si>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</si>
  <si>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</si>
  <si>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</si>
  <si>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</si>
  <si>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</si>
  <si>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</si>
  <si>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</si>
  <si>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</si>
  <si>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</si>
  <si>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</si>
  <si>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</si>
  <si>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</si>
  <si>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</si>
  <si>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</si>
  <si>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</si>
  <si>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</si>
  <si>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</si>
  <si>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</si>
  <si>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</si>
  <si>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</si>
  <si>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</si>
  <si>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</si>
  <si>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</si>
  <si>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</si>
  <si>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</si>
  <si>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</si>
  <si>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</si>
  <si>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</si>
  <si>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</si>
  <si>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</si>
  <si>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</si>
  <si>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</si>
  <si>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</si>
  <si>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</si>
  <si>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</si>
  <si>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</si>
  <si>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</si>
  <si>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</si>
  <si>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</si>
  <si>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</si>
  <si>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</si>
  <si>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</si>
  <si>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</si>
  <si>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</si>
  <si>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</si>
  <si>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</si>
  <si>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</si>
  <si>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</si>
  <si>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</si>
  <si>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</si>
  <si>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</si>
  <si>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</si>
  <si>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</si>
  <si>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</si>
  <si>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</si>
  <si>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</si>
  <si>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</si>
  <si>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</si>
  <si>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</si>
  <si>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</si>
  <si>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</si>
  <si>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</si>
  <si>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</si>
  <si>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</si>
  <si>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</si>
  <si>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</si>
  <si>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</si>
  <si>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</si>
  <si>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</si>
  <si>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</si>
  <si>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</si>
  <si>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</si>
  <si>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</si>
  <si>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</si>
  <si>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</si>
  <si>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</si>
  <si>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</si>
  <si>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</si>
  <si>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</si>
  <si>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</si>
  <si>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</si>
  <si>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</si>
  <si>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</si>
  <si>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</si>
  <si>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</si>
  <si>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</si>
  <si>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</si>
  <si>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</si>
  <si>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</si>
  <si>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</si>
  <si>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</si>
  <si>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</si>
  <si>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</si>
  <si>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</si>
  <si>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</si>
  <si>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</si>
  <si>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</si>
  <si>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</si>
  <si>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10-45-4205</t>
  </si>
  <si>
    <t>Processing Fees</t>
  </si>
  <si>
    <t>50-50-6150</t>
  </si>
  <si>
    <t>CC Processing Fees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</si>
  <si>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</si>
  <si>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</si>
  <si>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</si>
  <si>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</si>
  <si>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</si>
  <si>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</si>
  <si>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</si>
  <si>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</si>
  <si>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</si>
  <si>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</si>
  <si>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</si>
  <si>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</si>
  <si>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</si>
  <si>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</si>
  <si>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</si>
  <si>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</si>
  <si>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</si>
  <si>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</si>
  <si>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</si>
  <si>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</si>
  <si>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</si>
  <si>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</si>
  <si>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</si>
  <si>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</si>
  <si>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Punch Pass Revenue</t>
  </si>
  <si>
    <t>VC CC Processing Fees</t>
  </si>
  <si>
    <t>BC CC Processing Fees</t>
  </si>
  <si>
    <t>Discounted Employee Merchandise</t>
  </si>
  <si>
    <t>Hot Springs Pool Admissions</t>
  </si>
  <si>
    <t>Locker &amp; Misc. Rental (Showers)</t>
  </si>
  <si>
    <t>Swim Lesson Revenue</t>
  </si>
  <si>
    <t>Facility Rental Revenue</t>
  </si>
  <si>
    <t>Other Revenue and Misc.</t>
  </si>
  <si>
    <t>Hot Springs Membership Revenue</t>
  </si>
  <si>
    <t>Deposit Total (credit card - processing fees)</t>
  </si>
  <si>
    <t>OHV Permits</t>
  </si>
  <si>
    <t>Non-profit Passthrough Sales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</si>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</sst>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0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9" xfId="0" applyNumberFormat="1" applyFont="1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46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74" xfId="0" applyNumberFormat="1" applyFont="1" applyBorder="1" applyProtection="1"/>
    <xf numFmtId="43" fontId="13" fillId="0" borderId="0" xfId="0" applyNumberFormat="1" applyFont="1" applyProtection="1">
      <protection locked="0"/>
    </xf>
    <xf numFmtId="44" fontId="13" fillId="0" borderId="0" xfId="0" applyNumberFormat="1" applyFont="1" applyProtection="1">
      <protection locked="0"/>
    </xf>
    <xf numFmtId="43" fontId="12" fillId="0" borderId="33" xfId="0" applyNumberFormat="1" applyFont="1" applyFill="1" applyBorder="1" applyProtection="1">
      <protection locked="0"/>
    </xf>
    <xf numFmtId="43" fontId="12" fillId="0" borderId="9" xfId="0" applyNumberFormat="1" applyFont="1" applyFill="1" applyBorder="1" applyProtection="1">
      <protection locked="0"/>
    </xf>
    <xf numFmtId="43" fontId="0" fillId="0" borderId="0" xfId="0" applyNumberFormat="1" applyFill="1" applyProtection="1">
      <protection locked="0"/>
    </xf>
    <xf numFmtId="43" fontId="12" fillId="3" borderId="0" xfId="0" applyNumberFormat="1" applyFont="1" applyFill="1" applyProtection="1">
      <protection locked="0"/>
    </xf>
    <xf numFmtId="2" fontId="45" fillId="0" borderId="46" xfId="0" applyNumberFormat="1" applyFont="1" applyBorder="1" applyProtection="1"/>
    <xf numFmtId="2" fontId="45" fillId="0" borderId="58" xfId="0" applyNumberFormat="1" applyFont="1" applyBorder="1" applyProtection="1"/>
    <xf numFmtId="43" fontId="12" fillId="0" borderId="0" xfId="0" applyNumberFormat="1" applyFont="1" applyProtection="1">
      <protection locked="0"/>
    </xf>
    <xf numFmtId="43" fontId="45" fillId="0" borderId="17" xfId="0" applyNumberFormat="1" applyFont="1" applyBorder="1" applyProtection="1"/>
    <xf numFmtId="43" fontId="45" fillId="0" borderId="18" xfId="0" applyNumberFormat="1" applyFont="1" applyBorder="1" applyProtection="1"/>
    <xf numFmtId="43" fontId="45" fillId="0" borderId="9" xfId="0" applyNumberFormat="1" applyFont="1" applyBorder="1" applyProtection="1"/>
    <xf numFmtId="43" fontId="45" fillId="0" borderId="20" xfId="0" applyNumberFormat="1" applyFont="1" applyBorder="1" applyProtection="1"/>
    <xf numFmtId="43" fontId="42" fillId="0" borderId="73" xfId="0" applyNumberFormat="1" applyFont="1" applyBorder="1" applyProtection="1"/>
    <xf numFmtId="43" fontId="45" fillId="0" borderId="29" xfId="0" applyNumberFormat="1" applyFont="1" applyBorder="1" applyProtection="1"/>
    <xf numFmtId="43" fontId="45" fillId="0" borderId="62" xfId="0" applyNumberFormat="1" applyFont="1" applyBorder="1" applyProtection="1"/>
    <xf numFmtId="43" fontId="45" fillId="0" borderId="22" xfId="0" applyNumberFormat="1" applyFont="1" applyBorder="1"/>
    <xf numFmtId="43" fontId="45" fillId="0" borderId="23" xfId="0" applyNumberFormat="1" applyFont="1" applyBorder="1"/>
    <xf numFmtId="43" fontId="45" fillId="0" borderId="29" xfId="0" applyNumberFormat="1" applyFont="1" applyFill="1" applyBorder="1" applyProtection="1">
      <protection locked="0"/>
    </xf>
    <xf numFmtId="0" fontId="45" fillId="0" borderId="46" xfId="0" applyFont="1" applyBorder="1" applyProtection="1"/>
    <xf numFmtId="0" fontId="45" fillId="0" borderId="58" xfId="0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41" fontId="21" fillId="0" borderId="76" xfId="0" applyNumberFormat="1" applyFont="1" applyBorder="1" applyProtection="1"/>
    <xf numFmtId="41" fontId="2" fillId="3" borderId="75" xfId="0" applyNumberFormat="1" applyFont="1" applyFill="1" applyBorder="1" applyProtection="1"/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>
        <row r="2">
          <cell r="C2">
            <v>0</v>
          </cell>
        </row>
      </sheetData>
      <sheetData sheetId="9">
        <row r="2">
          <cell r="C2">
            <v>9.870000000000001</v>
          </cell>
        </row>
      </sheetData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9" sqref="A9"/>
    </sheetView>
  </sheetViews>
  <sheetFormatPr defaultColWidth="8.85546875" defaultRowHeight="12.75" x14ac:dyDescent="0.2"/>
  <cols>
    <col min="1" max="1" width="10.140625" style="2" bestFit="1" customWidth="1"/>
    <col min="2" max="2" width="4.5703125" style="227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1" t="s">
        <v>235</v>
      </c>
      <c r="D1" s="382">
        <v>2024</v>
      </c>
      <c r="G1" s="215"/>
    </row>
    <row r="3" spans="1:22" x14ac:dyDescent="0.2">
      <c r="A3" s="5"/>
    </row>
    <row r="4" spans="1:22" s="1" customFormat="1" x14ac:dyDescent="0.2">
      <c r="B4" s="228"/>
      <c r="C4" s="492" t="s">
        <v>1</v>
      </c>
      <c r="D4" s="493"/>
      <c r="E4" s="493"/>
      <c r="F4" s="493"/>
      <c r="G4" s="493"/>
      <c r="H4" s="493"/>
      <c r="I4" s="493"/>
      <c r="J4" s="493"/>
      <c r="K4" s="493"/>
      <c r="L4" s="493"/>
      <c r="M4" s="494"/>
      <c r="N4" s="6"/>
      <c r="O4" s="495" t="s">
        <v>2</v>
      </c>
      <c r="P4" s="496"/>
      <c r="Q4" s="496"/>
      <c r="R4" s="497"/>
      <c r="S4" s="7"/>
      <c r="T4" s="8" t="s">
        <v>3</v>
      </c>
    </row>
    <row r="5" spans="1:22" x14ac:dyDescent="0.2">
      <c r="B5" s="229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2" t="s">
        <v>7</v>
      </c>
      <c r="J5" s="152" t="s">
        <v>8</v>
      </c>
      <c r="K5" s="152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28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108</v>
      </c>
      <c r="H6" s="14" t="s">
        <v>99</v>
      </c>
      <c r="I6" s="153" t="s">
        <v>12</v>
      </c>
      <c r="J6" s="153" t="s">
        <v>12</v>
      </c>
      <c r="K6" s="153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0"/>
      <c r="C7" s="19"/>
      <c r="D7" s="20"/>
      <c r="E7" s="21"/>
      <c r="F7" s="21"/>
      <c r="G7" s="20"/>
      <c r="H7" s="20"/>
      <c r="I7" s="149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3">
        <v>45444</v>
      </c>
      <c r="B8" s="230" t="str">
        <f>TEXT(A8, "DDD")</f>
        <v>Sat</v>
      </c>
      <c r="C8" s="150">
        <f t="array" ref="C8:C38">TRANSPOSE(Pool!C33:AG33)</f>
        <v>2456.25</v>
      </c>
      <c r="D8" s="58">
        <f>'Box Canon'!C18+'Box Canon'!C19</f>
        <v>1022.53</v>
      </c>
      <c r="E8" s="21"/>
      <c r="F8" s="21"/>
      <c r="G8" s="149">
        <f t="array" ref="G8:G38">TRANSPOSE(Pool!C34:AG34)</f>
        <v>13130.62</v>
      </c>
      <c r="H8" s="149">
        <f t="array" ref="H8:H38">TRANSPOSE(Pool!C35:AG35)</f>
        <v>0</v>
      </c>
      <c r="I8" s="149">
        <f>'Box Canon'!C20+'Box Canon'!C21</f>
        <v>2321.36</v>
      </c>
      <c r="J8" s="147"/>
      <c r="K8" s="147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4">
        <f>SUM(A8+1)</f>
        <v>45445</v>
      </c>
      <c r="B9" s="230" t="str">
        <f t="shared" ref="B9:B38" si="0">TEXT(A9, "DDD")</f>
        <v>Sun</v>
      </c>
      <c r="C9" s="150">
        <v>2855.55</v>
      </c>
      <c r="D9" s="58">
        <f>'Box Canon'!D18+'Box Canon'!D19</f>
        <v>1111.4100000000001</v>
      </c>
      <c r="E9" s="21"/>
      <c r="F9" s="21"/>
      <c r="G9" s="149">
        <v>13961.3</v>
      </c>
      <c r="H9" s="149">
        <v>0</v>
      </c>
      <c r="I9" s="149">
        <f>'Box Canon'!D20+'Box Canon'!D21</f>
        <v>2371.6800000000003</v>
      </c>
      <c r="J9" s="147"/>
      <c r="K9" s="147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4">
        <f t="shared" ref="A10:A38" si="1">SUM(A9+1)</f>
        <v>45446</v>
      </c>
      <c r="B10" s="230" t="str">
        <f t="shared" si="0"/>
        <v>Mon</v>
      </c>
      <c r="C10" s="150">
        <v>1093.74</v>
      </c>
      <c r="D10" s="58">
        <f>'Box Canon'!E18+'Box Canon'!E19</f>
        <v>905.44</v>
      </c>
      <c r="E10" s="21"/>
      <c r="F10" s="21"/>
      <c r="G10" s="149">
        <v>8662.0499999999993</v>
      </c>
      <c r="H10" s="149">
        <v>0</v>
      </c>
      <c r="I10" s="149">
        <f>'Box Canon'!E20+'Box Canon'!E21</f>
        <v>2050.5299999999997</v>
      </c>
      <c r="J10" s="147"/>
      <c r="K10" s="147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4">
        <f t="shared" si="1"/>
        <v>45447</v>
      </c>
      <c r="B11" s="230" t="str">
        <f t="shared" si="0"/>
        <v>Tue</v>
      </c>
      <c r="C11" s="150">
        <v>1941.29</v>
      </c>
      <c r="D11" s="58">
        <f>'Box Canon'!F18+'Box Canon'!F19</f>
        <v>1149.3599999999999</v>
      </c>
      <c r="E11" s="21"/>
      <c r="F11" s="21"/>
      <c r="G11" s="149">
        <v>10176.799999999999</v>
      </c>
      <c r="H11" s="151">
        <v>0</v>
      </c>
      <c r="I11" s="149">
        <f>'Box Canon'!F20+'Box Canon'!F21</f>
        <v>2208.12</v>
      </c>
      <c r="J11" s="147"/>
      <c r="K11" s="147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4">
        <f t="shared" si="1"/>
        <v>45448</v>
      </c>
      <c r="B12" s="230" t="str">
        <f t="shared" si="0"/>
        <v>Wed</v>
      </c>
      <c r="C12" s="150">
        <v>1355.43</v>
      </c>
      <c r="D12" s="58">
        <f>'Box Canon'!G18+'Box Canon'!G19</f>
        <v>1006.66</v>
      </c>
      <c r="E12" s="21"/>
      <c r="F12" s="21"/>
      <c r="G12" s="149">
        <v>10624.87</v>
      </c>
      <c r="H12" s="151">
        <v>0</v>
      </c>
      <c r="I12" s="149">
        <f>'Box Canon'!G20+'Box Canon'!G21</f>
        <v>2276.96</v>
      </c>
      <c r="J12" s="147"/>
      <c r="K12" s="147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4">
        <f t="shared" si="1"/>
        <v>45449</v>
      </c>
      <c r="B13" s="230" t="str">
        <f t="shared" si="0"/>
        <v>Thu</v>
      </c>
      <c r="C13" s="150">
        <v>1501.5</v>
      </c>
      <c r="D13" s="58">
        <f>'Box Canon'!H18+'Box Canon'!H19</f>
        <v>1232.45</v>
      </c>
      <c r="E13" s="21"/>
      <c r="F13" s="21"/>
      <c r="G13" s="149">
        <v>11740.74</v>
      </c>
      <c r="H13" s="151">
        <v>0</v>
      </c>
      <c r="I13" s="149">
        <f>'Box Canon'!H20+'Box Canon'!H21</f>
        <v>3026.74</v>
      </c>
      <c r="J13" s="147"/>
      <c r="K13" s="147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4">
        <f t="shared" si="1"/>
        <v>45450</v>
      </c>
      <c r="B14" s="230" t="str">
        <f t="shared" si="0"/>
        <v>Fri</v>
      </c>
      <c r="C14" s="150">
        <v>1660.49</v>
      </c>
      <c r="D14" s="58">
        <f>'Box Canon'!I18+'Box Canon'!I19</f>
        <v>1383.87</v>
      </c>
      <c r="E14" s="21"/>
      <c r="F14" s="21"/>
      <c r="G14" s="149">
        <v>10374.01</v>
      </c>
      <c r="H14" s="151">
        <v>0</v>
      </c>
      <c r="I14" s="149">
        <f>'Box Canon'!I20+'Box Canon'!I21</f>
        <v>2212.87</v>
      </c>
      <c r="J14" s="147"/>
      <c r="K14" s="147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4">
        <f t="shared" si="1"/>
        <v>45451</v>
      </c>
      <c r="B15" s="230" t="str">
        <f t="shared" si="0"/>
        <v>Sat</v>
      </c>
      <c r="C15" s="150">
        <v>2024.67</v>
      </c>
      <c r="D15" s="58">
        <f>'Box Canon'!J18+'Box Canon'!J19</f>
        <v>1616.99</v>
      </c>
      <c r="E15" s="21"/>
      <c r="F15" s="21"/>
      <c r="G15" s="149">
        <v>17569.75</v>
      </c>
      <c r="H15" s="151">
        <v>0</v>
      </c>
      <c r="I15" s="149">
        <f>'Box Canon'!J20+'Box Canon'!J21</f>
        <v>4217.49</v>
      </c>
      <c r="J15" s="147"/>
      <c r="K15" s="147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4">
        <f t="shared" si="1"/>
        <v>45452</v>
      </c>
      <c r="B16" s="230" t="str">
        <f t="shared" si="0"/>
        <v>Sun</v>
      </c>
      <c r="C16" s="150">
        <v>3342.37</v>
      </c>
      <c r="D16" s="58">
        <f>'Box Canon'!K18+'Box Canon'!K19</f>
        <v>1596.85</v>
      </c>
      <c r="E16" s="21"/>
      <c r="F16" s="21"/>
      <c r="G16" s="149">
        <v>13094.41</v>
      </c>
      <c r="H16" s="151">
        <v>0</v>
      </c>
      <c r="I16" s="149">
        <f>'Box Canon'!K20+'Box Canon'!K21</f>
        <v>3331.25</v>
      </c>
      <c r="J16" s="147"/>
      <c r="K16" s="147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4">
        <f t="shared" si="1"/>
        <v>45453</v>
      </c>
      <c r="B17" s="230" t="str">
        <f t="shared" si="0"/>
        <v>Mon</v>
      </c>
      <c r="C17" s="150">
        <v>1274.99</v>
      </c>
      <c r="D17" s="58">
        <f>'Box Canon'!L18+'Box Canon'!L19</f>
        <v>1420.17</v>
      </c>
      <c r="E17" s="21"/>
      <c r="F17" s="21"/>
      <c r="G17" s="149">
        <v>9699.67</v>
      </c>
      <c r="H17" s="151">
        <v>0</v>
      </c>
      <c r="I17" s="149">
        <f>'Box Canon'!L20+'Box Canon'!L21</f>
        <v>2905.86</v>
      </c>
      <c r="J17" s="147"/>
      <c r="K17" s="147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4">
        <f t="shared" si="1"/>
        <v>45454</v>
      </c>
      <c r="B18" s="230" t="str">
        <f t="shared" si="0"/>
        <v>Tue</v>
      </c>
      <c r="C18" s="150">
        <v>1984.7</v>
      </c>
      <c r="D18" s="58">
        <f>'Box Canon'!M18+'Box Canon'!M19</f>
        <v>1272.71</v>
      </c>
      <c r="E18" s="21"/>
      <c r="F18" s="21"/>
      <c r="G18" s="149">
        <v>12479.34</v>
      </c>
      <c r="H18" s="151">
        <v>0</v>
      </c>
      <c r="I18" s="149">
        <f>'Box Canon'!M20+'Box Canon'!M21</f>
        <v>3187.65</v>
      </c>
      <c r="J18" s="147"/>
      <c r="K18" s="148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4">
        <f t="shared" si="1"/>
        <v>45455</v>
      </c>
      <c r="B19" s="230" t="str">
        <f t="shared" si="0"/>
        <v>Wed</v>
      </c>
      <c r="C19" s="150">
        <v>1791.26</v>
      </c>
      <c r="D19" s="58">
        <f>'Box Canon'!N18+'Box Canon'!N19</f>
        <v>1507.3200000000002</v>
      </c>
      <c r="E19" s="21"/>
      <c r="F19" s="21"/>
      <c r="G19" s="149">
        <v>12831.42</v>
      </c>
      <c r="H19" s="151">
        <v>0</v>
      </c>
      <c r="I19" s="149">
        <f>'Box Canon'!N20+'Box Canon'!N21</f>
        <v>3030.54</v>
      </c>
      <c r="J19" s="147"/>
      <c r="K19" s="147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4">
        <f t="shared" si="1"/>
        <v>45456</v>
      </c>
      <c r="B20" s="230" t="str">
        <f t="shared" si="0"/>
        <v>Thu</v>
      </c>
      <c r="C20" s="150">
        <v>2741.15</v>
      </c>
      <c r="D20" s="58">
        <f>'Box Canon'!O18+'Box Canon'!O19</f>
        <v>1496.3400000000001</v>
      </c>
      <c r="E20" s="21"/>
      <c r="F20" s="21"/>
      <c r="G20" s="149">
        <v>12701.12</v>
      </c>
      <c r="H20" s="151">
        <v>0</v>
      </c>
      <c r="I20" s="149">
        <f>'Box Canon'!O20+'Box Canon'!O21</f>
        <v>3184.7</v>
      </c>
      <c r="J20" s="147"/>
      <c r="K20" s="147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4">
        <f t="shared" si="1"/>
        <v>45457</v>
      </c>
      <c r="B21" s="230" t="str">
        <f t="shared" si="0"/>
        <v>Fri</v>
      </c>
      <c r="C21" s="150">
        <v>1305.17</v>
      </c>
      <c r="D21" s="58">
        <f>'Box Canon'!P18+'Box Canon'!P19</f>
        <v>980.97</v>
      </c>
      <c r="E21" s="41"/>
      <c r="F21" s="21"/>
      <c r="G21" s="149">
        <v>11384.5</v>
      </c>
      <c r="H21" s="151">
        <v>0</v>
      </c>
      <c r="I21" s="149">
        <f>'Box Canon'!P20+'Box Canon'!P21</f>
        <v>2961.55</v>
      </c>
      <c r="J21" s="147"/>
      <c r="K21" s="147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4">
        <f t="shared" si="1"/>
        <v>45458</v>
      </c>
      <c r="B22" s="230" t="str">
        <f t="shared" si="0"/>
        <v>Sat</v>
      </c>
      <c r="C22" s="150">
        <v>2752.45</v>
      </c>
      <c r="D22" s="58">
        <f>'Box Canon'!Q18+'Box Canon'!Q19</f>
        <v>2254.9700000000003</v>
      </c>
      <c r="E22" s="21"/>
      <c r="F22" s="21"/>
      <c r="G22" s="149">
        <v>18262.349999999999</v>
      </c>
      <c r="H22" s="151">
        <v>0</v>
      </c>
      <c r="I22" s="149">
        <f>'Box Canon'!Q20+'Box Canon'!Q21</f>
        <v>4915.3500000000004</v>
      </c>
      <c r="J22" s="147"/>
      <c r="K22" s="147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4">
        <f t="shared" si="1"/>
        <v>45459</v>
      </c>
      <c r="B23" s="230" t="str">
        <f t="shared" si="0"/>
        <v>Sun</v>
      </c>
      <c r="C23" s="150">
        <v>2753.15</v>
      </c>
      <c r="D23" s="58">
        <f>'Box Canon'!R18+'Box Canon'!R19</f>
        <v>1383.4</v>
      </c>
      <c r="E23" s="21"/>
      <c r="F23" s="21"/>
      <c r="G23" s="149">
        <v>15515.26</v>
      </c>
      <c r="H23" s="151">
        <v>0</v>
      </c>
      <c r="I23" s="149">
        <f>'Box Canon'!R20+'Box Canon'!R21</f>
        <v>4048.46</v>
      </c>
      <c r="J23" s="147"/>
      <c r="K23" s="147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4">
        <f t="shared" si="1"/>
        <v>45460</v>
      </c>
      <c r="B24" s="230" t="str">
        <f t="shared" si="0"/>
        <v>Mon</v>
      </c>
      <c r="C24" s="150">
        <v>1781.45</v>
      </c>
      <c r="D24" s="58">
        <f>'Box Canon'!S18+'Box Canon'!S19</f>
        <v>1416.3899999999999</v>
      </c>
      <c r="E24" s="21"/>
      <c r="F24" s="21"/>
      <c r="G24" s="149">
        <v>13671.24</v>
      </c>
      <c r="H24" s="151">
        <v>0</v>
      </c>
      <c r="I24" s="149">
        <f>'Box Canon'!S20+'Box Canon'!S21</f>
        <v>3452.4</v>
      </c>
      <c r="J24" s="147"/>
      <c r="K24" s="147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4">
        <f t="shared" si="1"/>
        <v>45461</v>
      </c>
      <c r="B25" s="230" t="str">
        <f t="shared" si="0"/>
        <v>Tue</v>
      </c>
      <c r="C25" s="150">
        <v>2346.6</v>
      </c>
      <c r="D25" s="58">
        <f>'Box Canon'!T18+'Box Canon'!T19</f>
        <v>1552.1799999999998</v>
      </c>
      <c r="E25" s="21"/>
      <c r="F25" s="21"/>
      <c r="G25" s="149">
        <v>15802.3</v>
      </c>
      <c r="H25" s="151">
        <v>0</v>
      </c>
      <c r="I25" s="149">
        <f>'Box Canon'!T20+'Box Canon'!T21</f>
        <v>4287.95</v>
      </c>
      <c r="J25" s="147"/>
      <c r="K25" s="147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4">
        <f t="shared" si="1"/>
        <v>45462</v>
      </c>
      <c r="B26" s="230" t="str">
        <f t="shared" si="0"/>
        <v>Wed</v>
      </c>
      <c r="C26" s="150">
        <v>2232.6999999999998</v>
      </c>
      <c r="D26" s="58">
        <f>'Box Canon'!U18+'Box Canon'!U19</f>
        <v>1440.79</v>
      </c>
      <c r="E26" s="21"/>
      <c r="F26" s="21"/>
      <c r="G26" s="149">
        <v>14854.46</v>
      </c>
      <c r="H26" s="151">
        <v>0</v>
      </c>
      <c r="I26" s="149">
        <f>'Box Canon'!U20+'Box Canon'!U21</f>
        <v>3766.7200000000003</v>
      </c>
      <c r="J26" s="147"/>
      <c r="K26" s="147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4">
        <f t="shared" si="1"/>
        <v>45463</v>
      </c>
      <c r="B27" s="230" t="str">
        <f t="shared" si="0"/>
        <v>Thu</v>
      </c>
      <c r="C27" s="150">
        <v>1440.75</v>
      </c>
      <c r="D27" s="58">
        <f>'Box Canon'!V18+'Box Canon'!V19</f>
        <v>1496.73</v>
      </c>
      <c r="E27" s="21"/>
      <c r="F27" s="21"/>
      <c r="G27" s="149">
        <v>13207.55</v>
      </c>
      <c r="H27" s="151">
        <v>0</v>
      </c>
      <c r="I27" s="149">
        <f>'Box Canon'!V20+'Box Canon'!V21</f>
        <v>3886.8199999999997</v>
      </c>
      <c r="J27" s="147"/>
      <c r="K27" s="147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4">
        <f t="shared" si="1"/>
        <v>45464</v>
      </c>
      <c r="B28" s="230" t="str">
        <f t="shared" si="0"/>
        <v>Fri</v>
      </c>
      <c r="C28" s="150">
        <v>1289</v>
      </c>
      <c r="D28" s="58">
        <f>'Box Canon'!W18+'Box Canon'!W19</f>
        <v>1550</v>
      </c>
      <c r="E28" s="21"/>
      <c r="F28" s="21"/>
      <c r="G28" s="149">
        <v>11574.87</v>
      </c>
      <c r="H28" s="151">
        <v>0</v>
      </c>
      <c r="I28" s="149">
        <f>'Box Canon'!W20+'Box Canon'!W21</f>
        <v>3941.3999999999996</v>
      </c>
      <c r="J28" s="147"/>
      <c r="K28" s="147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4">
        <f t="shared" si="1"/>
        <v>45465</v>
      </c>
      <c r="B29" s="230" t="str">
        <f t="shared" si="0"/>
        <v>Sat</v>
      </c>
      <c r="C29" s="150">
        <v>2469.9899999999998</v>
      </c>
      <c r="D29" s="58">
        <f>'Box Canon'!X18+'Box Canon'!X19</f>
        <v>1873</v>
      </c>
      <c r="E29" s="21"/>
      <c r="F29" s="21"/>
      <c r="G29" s="149">
        <v>20871.2</v>
      </c>
      <c r="H29" s="151">
        <v>0</v>
      </c>
      <c r="I29" s="149">
        <f>'Box Canon'!X20+'Box Canon'!X21</f>
        <v>4218.21</v>
      </c>
      <c r="J29" s="147"/>
      <c r="K29" s="147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4">
        <f t="shared" si="1"/>
        <v>45466</v>
      </c>
      <c r="B30" s="230" t="str">
        <f t="shared" si="0"/>
        <v>Sun</v>
      </c>
      <c r="C30" s="150">
        <v>2724.72</v>
      </c>
      <c r="D30" s="58">
        <f>'Box Canon'!Y18+'Box Canon'!Y19</f>
        <v>1948.37</v>
      </c>
      <c r="E30" s="21"/>
      <c r="F30" s="21"/>
      <c r="G30" s="149">
        <v>15640.27</v>
      </c>
      <c r="H30" s="151">
        <v>0</v>
      </c>
      <c r="I30" s="149">
        <f>'Box Canon'!Y20+'Box Canon'!Y21</f>
        <v>4104.53</v>
      </c>
      <c r="J30" s="147"/>
      <c r="K30" s="147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4">
        <f t="shared" si="1"/>
        <v>45467</v>
      </c>
      <c r="B31" s="230" t="str">
        <f t="shared" si="0"/>
        <v>Mon</v>
      </c>
      <c r="C31" s="150">
        <v>2752.16</v>
      </c>
      <c r="D31" s="58">
        <f>'Box Canon'!Z18+'Box Canon'!Z19</f>
        <v>1573.25</v>
      </c>
      <c r="E31" s="21"/>
      <c r="F31" s="21"/>
      <c r="G31" s="149">
        <v>13496.78</v>
      </c>
      <c r="H31" s="151">
        <v>0</v>
      </c>
      <c r="I31" s="149">
        <f>'Box Canon'!Z20+'Box Canon'!Z21</f>
        <v>3109.73</v>
      </c>
      <c r="J31" s="147"/>
      <c r="K31" s="147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4">
        <f t="shared" si="1"/>
        <v>45468</v>
      </c>
      <c r="B32" s="230" t="str">
        <f t="shared" si="0"/>
        <v>Tue</v>
      </c>
      <c r="C32" s="150">
        <v>2952.25</v>
      </c>
      <c r="D32" s="58">
        <f>'Box Canon'!AA18+'Box Canon'!AA19</f>
        <v>1598.42</v>
      </c>
      <c r="E32" s="21"/>
      <c r="F32" s="21"/>
      <c r="G32" s="149">
        <v>15159.24</v>
      </c>
      <c r="H32" s="151">
        <v>0</v>
      </c>
      <c r="I32" s="149">
        <f>'Box Canon'!AA20+'Box Canon'!AA21</f>
        <v>3594.1800000000003</v>
      </c>
      <c r="J32" s="147"/>
      <c r="K32" s="147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4">
        <f t="shared" si="1"/>
        <v>45469</v>
      </c>
      <c r="B33" s="230" t="str">
        <f t="shared" si="0"/>
        <v>Wed</v>
      </c>
      <c r="C33" s="150">
        <v>1856.25</v>
      </c>
      <c r="D33" s="58">
        <f>'Box Canon'!AB18+'Box Canon'!AB19</f>
        <v>1564.86</v>
      </c>
      <c r="E33" s="21"/>
      <c r="F33" s="21"/>
      <c r="G33" s="149">
        <v>9575.19</v>
      </c>
      <c r="H33" s="151">
        <v>0</v>
      </c>
      <c r="I33" s="149">
        <f>'Box Canon'!AB20+'Box Canon'!AB21</f>
        <v>3596.98</v>
      </c>
      <c r="J33" s="147"/>
      <c r="K33" s="147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4">
        <f t="shared" si="1"/>
        <v>45470</v>
      </c>
      <c r="B34" s="230" t="str">
        <f t="shared" si="0"/>
        <v>Thu</v>
      </c>
      <c r="C34" s="150">
        <v>1000.25</v>
      </c>
      <c r="D34" s="58">
        <f>'Box Canon'!AC18+'Box Canon'!AC19</f>
        <v>1102.47</v>
      </c>
      <c r="E34" s="21"/>
      <c r="F34" s="21"/>
      <c r="G34" s="149">
        <v>9689.32</v>
      </c>
      <c r="H34" s="151">
        <v>0</v>
      </c>
      <c r="I34" s="149">
        <f>'Box Canon'!AC20+'Box Canon'!AC21</f>
        <v>3411.7299999999996</v>
      </c>
      <c r="J34" s="147"/>
      <c r="K34" s="147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4">
        <f t="shared" si="1"/>
        <v>45471</v>
      </c>
      <c r="B35" s="230" t="str">
        <f t="shared" si="0"/>
        <v>Fri</v>
      </c>
      <c r="C35" s="150">
        <v>2593.7199999999998</v>
      </c>
      <c r="D35" s="58">
        <f>'Box Canon'!AD18+'Box Canon'!AD19</f>
        <v>1449.27</v>
      </c>
      <c r="E35" s="21"/>
      <c r="F35" s="21"/>
      <c r="G35" s="149">
        <v>17906.650000000001</v>
      </c>
      <c r="H35" s="151">
        <v>0</v>
      </c>
      <c r="I35" s="149">
        <f>'Box Canon'!AD20+'Box Canon'!AD21</f>
        <v>3903.0699999999997</v>
      </c>
      <c r="J35" s="147"/>
      <c r="K35" s="147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4">
        <f t="shared" si="1"/>
        <v>45472</v>
      </c>
      <c r="B36" s="230" t="str">
        <f t="shared" si="0"/>
        <v>Sat</v>
      </c>
      <c r="C36" s="150">
        <v>1976.23</v>
      </c>
      <c r="D36" s="58">
        <f>'Box Canon'!AE18+'Box Canon'!AE19</f>
        <v>1573.24</v>
      </c>
      <c r="E36" s="42"/>
      <c r="F36" s="21"/>
      <c r="G36" s="149">
        <v>16019.35</v>
      </c>
      <c r="H36" s="151">
        <v>0</v>
      </c>
      <c r="I36" s="149">
        <f>'Box Canon'!AE20+'Box Canon'!AE21</f>
        <v>4240.8</v>
      </c>
      <c r="J36" s="147"/>
      <c r="K36" s="147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4">
        <f t="shared" si="1"/>
        <v>45473</v>
      </c>
      <c r="B37" s="230" t="str">
        <f t="shared" si="0"/>
        <v>Sun</v>
      </c>
      <c r="C37" s="150">
        <v>2802.5</v>
      </c>
      <c r="D37" s="58">
        <f>'Box Canon'!AF18+'Box Canon'!AF19</f>
        <v>1452.2199999999998</v>
      </c>
      <c r="E37" s="21"/>
      <c r="F37" s="21"/>
      <c r="G37" s="149">
        <v>16615.650000000001</v>
      </c>
      <c r="H37" s="151">
        <v>0</v>
      </c>
      <c r="I37" s="149">
        <f>'Box Canon'!AF20+'Box Canon'!AF21</f>
        <v>3572.8</v>
      </c>
      <c r="J37" s="147"/>
      <c r="K37" s="147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4">
        <f t="shared" si="1"/>
        <v>45474</v>
      </c>
      <c r="B38" s="230" t="str">
        <f t="shared" si="0"/>
        <v>Mon</v>
      </c>
      <c r="C38" s="150">
        <v>0</v>
      </c>
      <c r="D38" s="58">
        <f>'Box Canon'!AG18+'Box Canon'!AG19</f>
        <v>0</v>
      </c>
      <c r="E38" s="21"/>
      <c r="F38" s="21"/>
      <c r="G38" s="149">
        <v>0</v>
      </c>
      <c r="H38" s="151">
        <v>0</v>
      </c>
      <c r="I38" s="149">
        <f>'Box Canon'!AG20+'Box Canon'!AG21</f>
        <v>0</v>
      </c>
      <c r="J38" s="147"/>
      <c r="K38" s="147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1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2"/>
      <c r="C40" s="169">
        <f>SUM(C8:C39)</f>
        <v>63052.73</v>
      </c>
      <c r="D40" s="169">
        <f t="shared" ref="D40:M40" si="2">SUM(D8:D39)</f>
        <v>42932.63</v>
      </c>
      <c r="E40" s="170">
        <f t="shared" si="2"/>
        <v>0</v>
      </c>
      <c r="F40" s="170">
        <f t="shared" si="2"/>
        <v>0</v>
      </c>
      <c r="G40" s="169">
        <f>SUM(G8:G38)</f>
        <v>406292.28000000009</v>
      </c>
      <c r="H40" s="169">
        <f>SUM(H8:H38)</f>
        <v>0</v>
      </c>
      <c r="I40" s="169">
        <f>SUM(I8:I38)</f>
        <v>101338.43</v>
      </c>
      <c r="J40" s="169">
        <f t="shared" si="2"/>
        <v>0</v>
      </c>
      <c r="K40" s="169">
        <f t="shared" si="2"/>
        <v>0</v>
      </c>
      <c r="L40" s="170">
        <f t="shared" si="2"/>
        <v>0</v>
      </c>
      <c r="M40" s="170">
        <f t="shared" si="2"/>
        <v>0</v>
      </c>
      <c r="N40" s="171"/>
      <c r="O40" s="172">
        <f>SUM(O8:O39)</f>
        <v>0</v>
      </c>
      <c r="P40" s="172">
        <f>SUM(P8:P39)</f>
        <v>0</v>
      </c>
      <c r="Q40" s="172">
        <f>SUM(Q8:Q39)</f>
        <v>0</v>
      </c>
      <c r="R40" s="172">
        <f>SUM(R8:R39)</f>
        <v>0</v>
      </c>
      <c r="S40" s="173"/>
      <c r="T40" s="174">
        <f>SUM(C40:R40)-M40-P40+T7</f>
        <v>613616.07000000007</v>
      </c>
      <c r="U40" s="18"/>
      <c r="V40" s="18"/>
    </row>
    <row r="41" spans="1:22" ht="13.5" thickTop="1" x14ac:dyDescent="0.2">
      <c r="B41" s="232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2"/>
      <c r="M42" s="175">
        <f>C40+D40+J40+K40+M40</f>
        <v>105985.36</v>
      </c>
      <c r="N42" s="171"/>
      <c r="O42" s="176">
        <f>+O40-P40</f>
        <v>0</v>
      </c>
      <c r="P42" s="175"/>
      <c r="Q42" s="176">
        <f>+P40+Q40</f>
        <v>0</v>
      </c>
      <c r="R42" s="175">
        <f>O40+Q40+R40</f>
        <v>0</v>
      </c>
      <c r="S42" s="23"/>
      <c r="T42" s="18"/>
      <c r="U42" s="18"/>
      <c r="V42" s="18"/>
    </row>
    <row r="43" spans="1:22" x14ac:dyDescent="0.2">
      <c r="A43" s="49"/>
      <c r="B43" s="232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2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2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2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2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2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2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2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2"/>
      <c r="C51" s="55"/>
      <c r="N51" s="23"/>
      <c r="O51" s="18"/>
      <c r="P51" s="18"/>
      <c r="Q51" s="18"/>
      <c r="U51" s="18"/>
      <c r="V51" s="18"/>
    </row>
    <row r="52" spans="1:22" x14ac:dyDescent="0.2">
      <c r="B52" s="232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2"/>
      <c r="C53" s="55"/>
      <c r="N53" s="23"/>
      <c r="O53" s="18"/>
      <c r="P53" s="18"/>
      <c r="Q53" s="18"/>
      <c r="U53" s="18"/>
      <c r="V53" s="18"/>
    </row>
    <row r="54" spans="1:22" x14ac:dyDescent="0.2">
      <c r="B54" s="232"/>
      <c r="C54" s="55"/>
      <c r="N54" s="23"/>
      <c r="O54" s="18"/>
      <c r="P54" s="18"/>
      <c r="Q54" s="18"/>
      <c r="U54" s="18"/>
      <c r="V54" s="18"/>
    </row>
    <row r="55" spans="1:22" x14ac:dyDescent="0.2">
      <c r="B55" s="232"/>
      <c r="N55" s="23"/>
      <c r="O55" s="18"/>
      <c r="P55" s="18"/>
      <c r="Q55" s="18"/>
      <c r="U55" s="18"/>
      <c r="V55" s="18"/>
    </row>
    <row r="56" spans="1:22" x14ac:dyDescent="0.2">
      <c r="B56" s="232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2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2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2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2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2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2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2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2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2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2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2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2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2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2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2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2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2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2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2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2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2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2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2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2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2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2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2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2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2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2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2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2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2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2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2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2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2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2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2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2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2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2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2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2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2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60"/>
  <sheetViews>
    <sheetView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N15" sqref="AN15"/>
    </sheetView>
  </sheetViews>
  <sheetFormatPr defaultRowHeight="15.75" x14ac:dyDescent="0.25"/>
  <cols>
    <col min="1" max="1" width="10.42578125" style="59" bestFit="1" customWidth="1"/>
    <col min="2" max="2" width="36.42578125" style="60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68" t="s">
        <v>119</v>
      </c>
      <c r="B1" s="376" t="str">
        <f>'Cash Flow'!C1</f>
        <v>June</v>
      </c>
      <c r="C1" s="226" t="str">
        <f t="array" ref="C1:AG1">TRANSPOSE('Cash Flow'!B8:B38)</f>
        <v>Sat</v>
      </c>
      <c r="D1" s="226" t="str">
        <v>Sun</v>
      </c>
      <c r="E1" s="226" t="str">
        <v>Mon</v>
      </c>
      <c r="F1" s="226" t="str">
        <v>Tue</v>
      </c>
      <c r="G1" s="226" t="str">
        <v>Wed</v>
      </c>
      <c r="H1" s="226" t="str">
        <v>Thu</v>
      </c>
      <c r="I1" s="226" t="str">
        <v>Fri</v>
      </c>
      <c r="J1" s="226" t="str">
        <v>Sat</v>
      </c>
      <c r="K1" s="226" t="str">
        <v>Sun</v>
      </c>
      <c r="L1" s="226" t="str">
        <v>Mon</v>
      </c>
      <c r="M1" s="226" t="str">
        <v>Tue</v>
      </c>
      <c r="N1" s="226" t="str">
        <v>Wed</v>
      </c>
      <c r="O1" s="226" t="str">
        <v>Thu</v>
      </c>
      <c r="P1" s="226" t="str">
        <v>Fri</v>
      </c>
      <c r="Q1" s="226" t="str">
        <v>Sat</v>
      </c>
      <c r="R1" s="226" t="str">
        <v>Sun</v>
      </c>
      <c r="S1" s="226" t="str">
        <v>Mon</v>
      </c>
      <c r="T1" s="226" t="str">
        <v>Tue</v>
      </c>
      <c r="U1" s="226" t="str">
        <v>Wed</v>
      </c>
      <c r="V1" s="226" t="str">
        <v>Thu</v>
      </c>
      <c r="W1" s="226" t="str">
        <v>Fri</v>
      </c>
      <c r="X1" s="226" t="str">
        <v>Sat</v>
      </c>
      <c r="Y1" s="226" t="str">
        <v>Sun</v>
      </c>
      <c r="Z1" s="226" t="str">
        <v>Mon</v>
      </c>
      <c r="AA1" s="226" t="str">
        <v>Tue</v>
      </c>
      <c r="AB1" s="226" t="str">
        <v>Wed</v>
      </c>
      <c r="AC1" s="226" t="str">
        <v>Thu</v>
      </c>
      <c r="AD1" s="226" t="str">
        <v>Fri</v>
      </c>
      <c r="AE1" s="226" t="str">
        <v>Sat</v>
      </c>
      <c r="AF1" s="226" t="str">
        <v>Sun</v>
      </c>
      <c r="AG1" s="226" t="str">
        <v>Mon</v>
      </c>
    </row>
    <row r="2" spans="1:39" s="60" customFormat="1" ht="16.5" thickBot="1" x14ac:dyDescent="0.3">
      <c r="A2" s="63" t="s">
        <v>66</v>
      </c>
      <c r="B2" s="64" t="s">
        <v>128</v>
      </c>
      <c r="C2" s="106">
        <f>'Cash Flow'!A8</f>
        <v>45444</v>
      </c>
      <c r="D2" s="106">
        <f>C2+1</f>
        <v>45445</v>
      </c>
      <c r="E2" s="106">
        <f>D2+1</f>
        <v>45446</v>
      </c>
      <c r="F2" s="106">
        <f t="shared" ref="F2:AG2" si="0">E2+1</f>
        <v>45447</v>
      </c>
      <c r="G2" s="106">
        <f t="shared" si="0"/>
        <v>45448</v>
      </c>
      <c r="H2" s="106">
        <f t="shared" si="0"/>
        <v>45449</v>
      </c>
      <c r="I2" s="106">
        <f t="shared" si="0"/>
        <v>45450</v>
      </c>
      <c r="J2" s="106">
        <f t="shared" si="0"/>
        <v>45451</v>
      </c>
      <c r="K2" s="106">
        <f t="shared" si="0"/>
        <v>45452</v>
      </c>
      <c r="L2" s="106">
        <f t="shared" si="0"/>
        <v>45453</v>
      </c>
      <c r="M2" s="106">
        <f t="shared" si="0"/>
        <v>45454</v>
      </c>
      <c r="N2" s="106">
        <f t="shared" si="0"/>
        <v>45455</v>
      </c>
      <c r="O2" s="106">
        <f t="shared" si="0"/>
        <v>45456</v>
      </c>
      <c r="P2" s="106">
        <f t="shared" si="0"/>
        <v>45457</v>
      </c>
      <c r="Q2" s="106">
        <f t="shared" si="0"/>
        <v>45458</v>
      </c>
      <c r="R2" s="106">
        <f t="shared" si="0"/>
        <v>45459</v>
      </c>
      <c r="S2" s="106">
        <f t="shared" si="0"/>
        <v>45460</v>
      </c>
      <c r="T2" s="106">
        <f t="shared" si="0"/>
        <v>45461</v>
      </c>
      <c r="U2" s="106">
        <f t="shared" si="0"/>
        <v>45462</v>
      </c>
      <c r="V2" s="106">
        <f t="shared" si="0"/>
        <v>45463</v>
      </c>
      <c r="W2" s="106">
        <f t="shared" si="0"/>
        <v>45464</v>
      </c>
      <c r="X2" s="106">
        <f t="shared" si="0"/>
        <v>45465</v>
      </c>
      <c r="Y2" s="106">
        <f t="shared" si="0"/>
        <v>45466</v>
      </c>
      <c r="Z2" s="106">
        <f t="shared" si="0"/>
        <v>45467</v>
      </c>
      <c r="AA2" s="106">
        <f t="shared" si="0"/>
        <v>45468</v>
      </c>
      <c r="AB2" s="106">
        <f t="shared" si="0"/>
        <v>45469</v>
      </c>
      <c r="AC2" s="106">
        <f t="shared" si="0"/>
        <v>45470</v>
      </c>
      <c r="AD2" s="106">
        <f t="shared" si="0"/>
        <v>45471</v>
      </c>
      <c r="AE2" s="106">
        <f t="shared" si="0"/>
        <v>45472</v>
      </c>
      <c r="AF2" s="106">
        <f t="shared" si="0"/>
        <v>45473</v>
      </c>
      <c r="AG2" s="106">
        <f t="shared" si="0"/>
        <v>45474</v>
      </c>
      <c r="AH2" s="65" t="s">
        <v>59</v>
      </c>
      <c r="AI2" s="62"/>
      <c r="AJ2" s="63" t="s">
        <v>66</v>
      </c>
      <c r="AK2" s="64" t="s">
        <v>128</v>
      </c>
    </row>
    <row r="3" spans="1:39" x14ac:dyDescent="0.25">
      <c r="A3" s="66" t="s">
        <v>61</v>
      </c>
      <c r="B3" s="67" t="s">
        <v>62</v>
      </c>
      <c r="C3" s="68">
        <v>82.79</v>
      </c>
      <c r="D3" s="183">
        <v>117.46</v>
      </c>
      <c r="E3" s="183">
        <v>36.97</v>
      </c>
      <c r="F3" s="183">
        <v>70.86</v>
      </c>
      <c r="G3" s="183">
        <v>48.43</v>
      </c>
      <c r="H3" s="183">
        <v>89.45</v>
      </c>
      <c r="I3" s="183">
        <v>78.67</v>
      </c>
      <c r="J3" s="183">
        <v>117.89</v>
      </c>
      <c r="K3" s="183">
        <v>114.83</v>
      </c>
      <c r="L3" s="183">
        <v>58.59</v>
      </c>
      <c r="M3" s="183">
        <v>78.819999999999993</v>
      </c>
      <c r="N3" s="183">
        <v>89.13</v>
      </c>
      <c r="O3" s="183">
        <v>111.78</v>
      </c>
      <c r="P3" s="183">
        <v>45.33</v>
      </c>
      <c r="Q3" s="183">
        <v>126.12</v>
      </c>
      <c r="R3" s="183">
        <v>71.66</v>
      </c>
      <c r="S3" s="183">
        <v>76.209999999999994</v>
      </c>
      <c r="T3" s="183">
        <v>91.7</v>
      </c>
      <c r="U3" s="183">
        <v>95.56</v>
      </c>
      <c r="V3" s="183">
        <v>52.47</v>
      </c>
      <c r="W3" s="183">
        <v>82.22</v>
      </c>
      <c r="X3" s="183">
        <v>96.58</v>
      </c>
      <c r="Y3" s="183">
        <v>119.68</v>
      </c>
      <c r="Z3" s="183">
        <v>124.06</v>
      </c>
      <c r="AA3" s="183">
        <v>108.14</v>
      </c>
      <c r="AB3" s="183">
        <v>71.95</v>
      </c>
      <c r="AC3" s="183">
        <v>54.27</v>
      </c>
      <c r="AD3" s="183">
        <v>138.16</v>
      </c>
      <c r="AE3" s="183">
        <v>78.34</v>
      </c>
      <c r="AF3" s="183">
        <v>87.83</v>
      </c>
      <c r="AG3" s="183"/>
      <c r="AH3" s="108">
        <f>SUM(C3:AG3)</f>
        <v>2615.9499999999998</v>
      </c>
      <c r="AJ3" s="66" t="s">
        <v>61</v>
      </c>
      <c r="AK3" s="67" t="s">
        <v>62</v>
      </c>
      <c r="AL3" s="208"/>
      <c r="AM3" s="208"/>
    </row>
    <row r="4" spans="1:39" x14ac:dyDescent="0.25">
      <c r="A4" s="69" t="s">
        <v>30</v>
      </c>
      <c r="B4" s="70" t="s">
        <v>226</v>
      </c>
      <c r="C4" s="71">
        <v>11490.4</v>
      </c>
      <c r="D4" s="72">
        <v>11526.8</v>
      </c>
      <c r="E4" s="71">
        <v>7158.8</v>
      </c>
      <c r="F4" s="71">
        <v>8463.6</v>
      </c>
      <c r="G4" s="71">
        <v>8442.7999999999993</v>
      </c>
      <c r="H4" s="71">
        <v>9700.4</v>
      </c>
      <c r="I4" s="71">
        <v>9191</v>
      </c>
      <c r="J4" s="71">
        <v>13334.8</v>
      </c>
      <c r="K4" s="71">
        <v>11397.2</v>
      </c>
      <c r="L4" s="71">
        <v>7469.8</v>
      </c>
      <c r="M4" s="71">
        <v>9841.6</v>
      </c>
      <c r="N4" s="71">
        <v>11692.8</v>
      </c>
      <c r="O4" s="71">
        <v>11584.4</v>
      </c>
      <c r="P4" s="71">
        <v>7616.4</v>
      </c>
      <c r="Q4" s="71">
        <v>16137.6</v>
      </c>
      <c r="R4" s="71">
        <v>13764.4</v>
      </c>
      <c r="S4" s="71">
        <v>12672.4</v>
      </c>
      <c r="T4" s="71">
        <v>13249.8</v>
      </c>
      <c r="U4" s="71">
        <v>12515</v>
      </c>
      <c r="V4" s="71">
        <v>8838</v>
      </c>
      <c r="W4" s="71">
        <v>9891</v>
      </c>
      <c r="X4" s="71">
        <v>16796.2</v>
      </c>
      <c r="Y4" s="71">
        <v>13090.4</v>
      </c>
      <c r="Z4" s="71">
        <v>12859.6</v>
      </c>
      <c r="AA4" s="71">
        <v>13593.6</v>
      </c>
      <c r="AB4" s="71">
        <v>9272.7999999999993</v>
      </c>
      <c r="AC4" s="71">
        <v>7136</v>
      </c>
      <c r="AD4" s="71">
        <v>16176.2</v>
      </c>
      <c r="AE4" s="71">
        <v>12484</v>
      </c>
      <c r="AF4" s="71">
        <v>13847.4</v>
      </c>
      <c r="AG4" s="71"/>
      <c r="AH4" s="108">
        <f t="shared" ref="AH4:AH28" si="1">SUM(C4:AG4)</f>
        <v>341235.19999999995</v>
      </c>
      <c r="AJ4" s="69" t="s">
        <v>30</v>
      </c>
      <c r="AK4" s="70" t="s">
        <v>31</v>
      </c>
      <c r="AL4" s="208"/>
      <c r="AM4" s="208"/>
    </row>
    <row r="5" spans="1:39" hidden="1" x14ac:dyDescent="0.25">
      <c r="A5" s="368" t="s">
        <v>150</v>
      </c>
      <c r="B5" s="369" t="s">
        <v>151</v>
      </c>
      <c r="C5" s="370"/>
      <c r="D5" s="371"/>
      <c r="E5" s="371"/>
      <c r="F5" s="371"/>
      <c r="G5" s="371"/>
      <c r="H5" s="371"/>
      <c r="I5" s="371"/>
      <c r="J5" s="371"/>
      <c r="K5" s="371"/>
      <c r="L5" s="371"/>
      <c r="M5" s="371"/>
      <c r="N5" s="371"/>
      <c r="O5" s="371"/>
      <c r="P5" s="371"/>
      <c r="Q5" s="371"/>
      <c r="R5" s="371"/>
      <c r="S5" s="371"/>
      <c r="T5" s="371"/>
      <c r="U5" s="371"/>
      <c r="V5" s="371"/>
      <c r="W5" s="371"/>
      <c r="X5" s="371"/>
      <c r="Y5" s="371"/>
      <c r="Z5" s="371"/>
      <c r="AA5" s="371"/>
      <c r="AB5" s="371"/>
      <c r="AC5" s="371"/>
      <c r="AD5" s="371"/>
      <c r="AE5" s="371"/>
      <c r="AF5" s="371"/>
      <c r="AG5" s="371"/>
      <c r="AH5" s="372">
        <f>SUM(C5:AG5)</f>
        <v>0</v>
      </c>
      <c r="AI5" s="373"/>
      <c r="AJ5" s="368" t="s">
        <v>150</v>
      </c>
      <c r="AK5" s="369" t="s">
        <v>151</v>
      </c>
      <c r="AM5" s="208"/>
    </row>
    <row r="6" spans="1:39" s="461" customFormat="1" x14ac:dyDescent="0.25">
      <c r="A6" s="160" t="s">
        <v>152</v>
      </c>
      <c r="B6" s="161" t="s">
        <v>231</v>
      </c>
      <c r="C6" s="473">
        <v>1255</v>
      </c>
      <c r="D6" s="474">
        <v>947.5</v>
      </c>
      <c r="E6" s="474">
        <v>355.5</v>
      </c>
      <c r="F6" s="474">
        <v>1798</v>
      </c>
      <c r="G6" s="474">
        <v>1170.5</v>
      </c>
      <c r="H6" s="474">
        <v>691</v>
      </c>
      <c r="I6" s="474">
        <v>80</v>
      </c>
      <c r="J6" s="474">
        <v>1185</v>
      </c>
      <c r="K6" s="474">
        <v>1145</v>
      </c>
      <c r="L6" s="474">
        <v>702</v>
      </c>
      <c r="M6" s="474"/>
      <c r="N6" s="474">
        <v>100</v>
      </c>
      <c r="O6" s="474">
        <v>200</v>
      </c>
      <c r="P6" s="474">
        <v>2740</v>
      </c>
      <c r="Q6" s="474">
        <v>1040</v>
      </c>
      <c r="R6" s="474">
        <v>18</v>
      </c>
      <c r="S6" s="474">
        <v>210</v>
      </c>
      <c r="T6" s="474">
        <v>1933</v>
      </c>
      <c r="U6" s="474">
        <v>785</v>
      </c>
      <c r="V6" s="474">
        <v>2468</v>
      </c>
      <c r="W6" s="474">
        <v>665</v>
      </c>
      <c r="X6" s="474">
        <v>1224</v>
      </c>
      <c r="Y6" s="474">
        <v>975</v>
      </c>
      <c r="Z6" s="474">
        <v>494</v>
      </c>
      <c r="AA6" s="474">
        <v>386</v>
      </c>
      <c r="AB6" s="474">
        <v>65</v>
      </c>
      <c r="AC6" s="474">
        <v>745</v>
      </c>
      <c r="AD6" s="474">
        <v>785</v>
      </c>
      <c r="AE6" s="474">
        <v>1765</v>
      </c>
      <c r="AF6" s="474">
        <v>352</v>
      </c>
      <c r="AG6" s="474"/>
      <c r="AH6" s="108">
        <f>SUM(C6:AG6)</f>
        <v>26279.5</v>
      </c>
      <c r="AI6" s="62"/>
      <c r="AJ6" s="160" t="s">
        <v>152</v>
      </c>
      <c r="AK6" s="161" t="s">
        <v>192</v>
      </c>
      <c r="AM6" s="475"/>
    </row>
    <row r="7" spans="1:39" s="461" customFormat="1" x14ac:dyDescent="0.25">
      <c r="A7" s="160" t="s">
        <v>152</v>
      </c>
      <c r="B7" s="161" t="s">
        <v>222</v>
      </c>
      <c r="C7" s="473">
        <v>1260</v>
      </c>
      <c r="D7" s="474">
        <v>1540</v>
      </c>
      <c r="E7" s="474">
        <v>1180</v>
      </c>
      <c r="F7" s="474">
        <v>180</v>
      </c>
      <c r="G7" s="474">
        <v>1360</v>
      </c>
      <c r="H7" s="474">
        <v>1220</v>
      </c>
      <c r="I7" s="474">
        <v>1400</v>
      </c>
      <c r="J7" s="474">
        <v>2800</v>
      </c>
      <c r="K7" s="474">
        <v>1720</v>
      </c>
      <c r="L7" s="474">
        <v>1360</v>
      </c>
      <c r="M7" s="474">
        <v>2940</v>
      </c>
      <c r="N7" s="474">
        <v>1040</v>
      </c>
      <c r="O7" s="474">
        <v>1440</v>
      </c>
      <c r="P7" s="474">
        <v>900</v>
      </c>
      <c r="Q7" s="474">
        <v>1180</v>
      </c>
      <c r="R7" s="474">
        <v>2860</v>
      </c>
      <c r="S7" s="474">
        <v>860</v>
      </c>
      <c r="T7" s="474">
        <v>860</v>
      </c>
      <c r="U7" s="474">
        <v>1580</v>
      </c>
      <c r="V7" s="474">
        <v>1540</v>
      </c>
      <c r="W7" s="474">
        <v>540</v>
      </c>
      <c r="X7" s="474">
        <v>2840</v>
      </c>
      <c r="Y7" s="474">
        <v>1860</v>
      </c>
      <c r="Z7" s="474">
        <v>540</v>
      </c>
      <c r="AA7" s="474">
        <v>1760</v>
      </c>
      <c r="AB7" s="474">
        <v>860</v>
      </c>
      <c r="AC7" s="474">
        <v>1680</v>
      </c>
      <c r="AD7" s="474">
        <v>1040</v>
      </c>
      <c r="AE7" s="474">
        <v>2220</v>
      </c>
      <c r="AF7" s="474">
        <v>3420</v>
      </c>
      <c r="AG7" s="474"/>
      <c r="AH7" s="108">
        <f>SUM(C7:AG7)</f>
        <v>45980</v>
      </c>
      <c r="AI7" s="62"/>
      <c r="AJ7" s="160" t="s">
        <v>152</v>
      </c>
      <c r="AK7" s="161" t="s">
        <v>222</v>
      </c>
      <c r="AM7" s="475"/>
    </row>
    <row r="8" spans="1:39" s="461" customFormat="1" x14ac:dyDescent="0.25">
      <c r="A8" s="160" t="s">
        <v>157</v>
      </c>
      <c r="B8" s="161" t="s">
        <v>229</v>
      </c>
      <c r="C8" s="473"/>
      <c r="D8" s="474"/>
      <c r="E8" s="474"/>
      <c r="F8" s="474"/>
      <c r="G8" s="474"/>
      <c r="H8" s="474"/>
      <c r="I8" s="474"/>
      <c r="J8" s="474"/>
      <c r="K8" s="474">
        <v>237.55</v>
      </c>
      <c r="L8" s="474"/>
      <c r="M8" s="474"/>
      <c r="N8" s="474"/>
      <c r="O8" s="474"/>
      <c r="P8" s="474"/>
      <c r="Q8" s="474"/>
      <c r="R8" s="474"/>
      <c r="S8" s="474"/>
      <c r="T8" s="474"/>
      <c r="U8" s="474"/>
      <c r="V8" s="474"/>
      <c r="W8" s="474"/>
      <c r="X8" s="474"/>
      <c r="Y8" s="474"/>
      <c r="Z8" s="474"/>
      <c r="AA8" s="474"/>
      <c r="AB8" s="474"/>
      <c r="AC8" s="474"/>
      <c r="AD8" s="474"/>
      <c r="AE8" s="474"/>
      <c r="AF8" s="474"/>
      <c r="AG8" s="474"/>
      <c r="AH8" s="108">
        <f t="shared" ref="AH8:AH13" si="2">SUM(C8:AG8)</f>
        <v>237.55</v>
      </c>
      <c r="AI8" s="62"/>
      <c r="AJ8" s="160" t="s">
        <v>157</v>
      </c>
      <c r="AK8" s="161" t="s">
        <v>158</v>
      </c>
      <c r="AM8" s="475"/>
    </row>
    <row r="9" spans="1:39" x14ac:dyDescent="0.25">
      <c r="A9" s="69" t="s">
        <v>173</v>
      </c>
      <c r="B9" s="70" t="s">
        <v>63</v>
      </c>
      <c r="C9" s="71">
        <v>528</v>
      </c>
      <c r="D9" s="72">
        <v>780</v>
      </c>
      <c r="E9" s="72">
        <v>401</v>
      </c>
      <c r="F9" s="72">
        <v>559</v>
      </c>
      <c r="G9" s="72">
        <v>290</v>
      </c>
      <c r="H9" s="72">
        <v>551</v>
      </c>
      <c r="I9" s="72">
        <v>420</v>
      </c>
      <c r="J9" s="72">
        <v>640</v>
      </c>
      <c r="K9" s="72">
        <v>524</v>
      </c>
      <c r="L9" s="72">
        <v>385</v>
      </c>
      <c r="M9" s="72">
        <v>641</v>
      </c>
      <c r="N9" s="72">
        <v>585</v>
      </c>
      <c r="O9" s="72">
        <v>772</v>
      </c>
      <c r="P9" s="72">
        <v>360</v>
      </c>
      <c r="Q9" s="72">
        <v>580</v>
      </c>
      <c r="R9" s="72">
        <v>774</v>
      </c>
      <c r="S9" s="72">
        <v>735</v>
      </c>
      <c r="T9" s="72">
        <v>540</v>
      </c>
      <c r="U9" s="72">
        <v>663</v>
      </c>
      <c r="V9" s="72">
        <v>371</v>
      </c>
      <c r="W9" s="72">
        <v>371</v>
      </c>
      <c r="X9" s="72">
        <v>875</v>
      </c>
      <c r="Y9" s="72">
        <v>465</v>
      </c>
      <c r="Z9" s="72">
        <v>751</v>
      </c>
      <c r="AA9" s="72">
        <v>872</v>
      </c>
      <c r="AB9" s="72">
        <v>302</v>
      </c>
      <c r="AC9" s="72">
        <v>384</v>
      </c>
      <c r="AD9" s="72">
        <v>645</v>
      </c>
      <c r="AE9" s="72">
        <v>786</v>
      </c>
      <c r="AF9" s="72">
        <v>697</v>
      </c>
      <c r="AG9" s="72"/>
      <c r="AH9" s="108">
        <f>SUM(C9:AG9)</f>
        <v>17247</v>
      </c>
      <c r="AJ9" s="69" t="s">
        <v>173</v>
      </c>
      <c r="AK9" s="70" t="s">
        <v>63</v>
      </c>
      <c r="AM9" s="208"/>
    </row>
    <row r="10" spans="1:39" s="461" customFormat="1" x14ac:dyDescent="0.25">
      <c r="A10" s="160" t="s">
        <v>159</v>
      </c>
      <c r="B10" s="161" t="s">
        <v>230</v>
      </c>
      <c r="C10" s="473"/>
      <c r="D10" s="474"/>
      <c r="E10" s="474"/>
      <c r="F10" s="474"/>
      <c r="G10" s="474"/>
      <c r="H10" s="474"/>
      <c r="I10" s="474"/>
      <c r="J10" s="474"/>
      <c r="K10" s="474"/>
      <c r="L10" s="474"/>
      <c r="M10" s="474"/>
      <c r="N10" s="474"/>
      <c r="O10" s="474"/>
      <c r="P10" s="474"/>
      <c r="Q10" s="474"/>
      <c r="R10" s="474"/>
      <c r="S10" s="474"/>
      <c r="T10" s="474"/>
      <c r="U10" s="474"/>
      <c r="V10" s="474"/>
      <c r="W10" s="474"/>
      <c r="X10" s="474"/>
      <c r="Y10" s="474"/>
      <c r="Z10" s="474"/>
      <c r="AA10" s="474"/>
      <c r="AB10" s="474"/>
      <c r="AC10" s="474"/>
      <c r="AD10" s="474"/>
      <c r="AE10" s="474"/>
      <c r="AF10" s="474"/>
      <c r="AG10" s="474"/>
      <c r="AH10" s="108">
        <f t="shared" si="2"/>
        <v>0</v>
      </c>
      <c r="AI10" s="62"/>
      <c r="AJ10" s="160" t="s">
        <v>159</v>
      </c>
      <c r="AK10" s="161" t="s">
        <v>160</v>
      </c>
      <c r="AM10" s="475"/>
    </row>
    <row r="11" spans="1:39" s="461" customFormat="1" hidden="1" x14ac:dyDescent="0.25">
      <c r="A11" s="160" t="s">
        <v>153</v>
      </c>
      <c r="B11" s="161" t="s">
        <v>154</v>
      </c>
      <c r="C11" s="473"/>
      <c r="D11" s="474"/>
      <c r="E11" s="474"/>
      <c r="F11" s="474"/>
      <c r="G11" s="474"/>
      <c r="H11" s="474"/>
      <c r="I11" s="474"/>
      <c r="J11" s="474"/>
      <c r="K11" s="474"/>
      <c r="L11" s="474"/>
      <c r="M11" s="474"/>
      <c r="N11" s="474"/>
      <c r="O11" s="474"/>
      <c r="P11" s="474"/>
      <c r="Q11" s="474"/>
      <c r="R11" s="474"/>
      <c r="S11" s="474"/>
      <c r="T11" s="474"/>
      <c r="U11" s="474"/>
      <c r="V11" s="474"/>
      <c r="W11" s="474"/>
      <c r="X11" s="474"/>
      <c r="Y11" s="474"/>
      <c r="Z11" s="474"/>
      <c r="AA11" s="474"/>
      <c r="AB11" s="474"/>
      <c r="AC11" s="474"/>
      <c r="AD11" s="474"/>
      <c r="AE11" s="474"/>
      <c r="AF11" s="474"/>
      <c r="AG11" s="474"/>
      <c r="AH11" s="108">
        <f t="shared" si="2"/>
        <v>0</v>
      </c>
      <c r="AI11" s="62"/>
      <c r="AJ11" s="160" t="s">
        <v>153</v>
      </c>
      <c r="AK11" s="161" t="s">
        <v>154</v>
      </c>
      <c r="AM11" s="475"/>
    </row>
    <row r="12" spans="1:39" s="461" customFormat="1" hidden="1" x14ac:dyDescent="0.25">
      <c r="A12" s="160" t="s">
        <v>164</v>
      </c>
      <c r="B12" s="161" t="s">
        <v>165</v>
      </c>
      <c r="C12" s="473"/>
      <c r="D12" s="474"/>
      <c r="E12" s="474"/>
      <c r="F12" s="474"/>
      <c r="G12" s="474"/>
      <c r="H12" s="474"/>
      <c r="I12" s="474"/>
      <c r="J12" s="474"/>
      <c r="K12" s="474"/>
      <c r="L12" s="474"/>
      <c r="M12" s="474"/>
      <c r="N12" s="474"/>
      <c r="O12" s="474"/>
      <c r="P12" s="474"/>
      <c r="Q12" s="474"/>
      <c r="R12" s="474"/>
      <c r="S12" s="474"/>
      <c r="T12" s="474"/>
      <c r="U12" s="474"/>
      <c r="V12" s="474"/>
      <c r="W12" s="474"/>
      <c r="X12" s="474"/>
      <c r="Y12" s="474"/>
      <c r="Z12" s="474"/>
      <c r="AA12" s="474"/>
      <c r="AB12" s="474"/>
      <c r="AC12" s="474"/>
      <c r="AD12" s="474"/>
      <c r="AE12" s="474"/>
      <c r="AF12" s="474"/>
      <c r="AG12" s="474"/>
      <c r="AH12" s="108">
        <f t="shared" si="2"/>
        <v>0</v>
      </c>
      <c r="AI12" s="62"/>
      <c r="AJ12" s="160" t="s">
        <v>164</v>
      </c>
      <c r="AK12" s="161" t="s">
        <v>165</v>
      </c>
      <c r="AM12" s="475"/>
    </row>
    <row r="13" spans="1:39" s="461" customFormat="1" hidden="1" x14ac:dyDescent="0.25">
      <c r="A13" s="160" t="s">
        <v>166</v>
      </c>
      <c r="B13" s="161" t="s">
        <v>167</v>
      </c>
      <c r="C13" s="473"/>
      <c r="D13" s="474"/>
      <c r="E13" s="474"/>
      <c r="F13" s="474"/>
      <c r="G13" s="474"/>
      <c r="H13" s="474"/>
      <c r="I13" s="474"/>
      <c r="J13" s="474"/>
      <c r="K13" s="474"/>
      <c r="L13" s="474"/>
      <c r="M13" s="474"/>
      <c r="N13" s="474"/>
      <c r="O13" s="474"/>
      <c r="P13" s="474"/>
      <c r="Q13" s="474"/>
      <c r="R13" s="474"/>
      <c r="S13" s="474"/>
      <c r="T13" s="474"/>
      <c r="U13" s="474"/>
      <c r="V13" s="474"/>
      <c r="W13" s="474"/>
      <c r="X13" s="474"/>
      <c r="Y13" s="474"/>
      <c r="Z13" s="474"/>
      <c r="AA13" s="474"/>
      <c r="AB13" s="474"/>
      <c r="AC13" s="474"/>
      <c r="AD13" s="474"/>
      <c r="AE13" s="474"/>
      <c r="AF13" s="474"/>
      <c r="AG13" s="474"/>
      <c r="AH13" s="108">
        <f t="shared" si="2"/>
        <v>0</v>
      </c>
      <c r="AI13" s="62"/>
      <c r="AJ13" s="160" t="s">
        <v>166</v>
      </c>
      <c r="AK13" s="161" t="s">
        <v>167</v>
      </c>
      <c r="AM13" s="475"/>
    </row>
    <row r="14" spans="1:39" s="461" customFormat="1" x14ac:dyDescent="0.25">
      <c r="A14" s="160" t="s">
        <v>34</v>
      </c>
      <c r="B14" s="161" t="s">
        <v>227</v>
      </c>
      <c r="C14" s="473">
        <v>48</v>
      </c>
      <c r="D14" s="474">
        <v>269</v>
      </c>
      <c r="E14" s="474">
        <v>12</v>
      </c>
      <c r="F14" s="474">
        <v>32</v>
      </c>
      <c r="G14" s="474">
        <v>64</v>
      </c>
      <c r="H14" s="474">
        <v>40</v>
      </c>
      <c r="I14" s="474">
        <v>24</v>
      </c>
      <c r="J14" s="474">
        <v>28</v>
      </c>
      <c r="K14" s="474">
        <v>290</v>
      </c>
      <c r="L14" s="474">
        <v>24</v>
      </c>
      <c r="M14" s="474">
        <v>118</v>
      </c>
      <c r="N14" s="474">
        <v>32</v>
      </c>
      <c r="O14" s="474">
        <v>76</v>
      </c>
      <c r="P14" s="474">
        <v>24</v>
      </c>
      <c r="Q14" s="474">
        <v>314</v>
      </c>
      <c r="R14" s="474">
        <v>44</v>
      </c>
      <c r="S14" s="474">
        <v>72</v>
      </c>
      <c r="T14" s="474">
        <v>32</v>
      </c>
      <c r="U14" s="474">
        <v>171</v>
      </c>
      <c r="V14" s="474">
        <v>64</v>
      </c>
      <c r="W14" s="474">
        <v>36</v>
      </c>
      <c r="X14" s="474">
        <v>176</v>
      </c>
      <c r="Y14" s="474">
        <v>116</v>
      </c>
      <c r="Z14" s="474">
        <v>32</v>
      </c>
      <c r="AA14" s="474">
        <v>52</v>
      </c>
      <c r="AB14" s="474">
        <v>44</v>
      </c>
      <c r="AC14" s="474">
        <v>84</v>
      </c>
      <c r="AD14" s="474">
        <v>241</v>
      </c>
      <c r="AE14" s="474">
        <v>52</v>
      </c>
      <c r="AF14" s="474">
        <v>32</v>
      </c>
      <c r="AG14" s="474"/>
      <c r="AH14" s="108">
        <f t="shared" si="1"/>
        <v>2643</v>
      </c>
      <c r="AI14" s="62"/>
      <c r="AJ14" s="160" t="s">
        <v>34</v>
      </c>
      <c r="AK14" s="161" t="s">
        <v>35</v>
      </c>
    </row>
    <row r="15" spans="1:39" s="461" customFormat="1" x14ac:dyDescent="0.25">
      <c r="A15" s="160" t="s">
        <v>36</v>
      </c>
      <c r="B15" s="161" t="s">
        <v>37</v>
      </c>
      <c r="C15" s="473">
        <v>881.18</v>
      </c>
      <c r="D15" s="474">
        <v>1248.0899999999999</v>
      </c>
      <c r="E15" s="474">
        <v>393.77</v>
      </c>
      <c r="F15" s="474">
        <v>757.61</v>
      </c>
      <c r="G15" s="474">
        <v>514.44000000000005</v>
      </c>
      <c r="H15" s="474">
        <v>950.39</v>
      </c>
      <c r="I15" s="474">
        <v>835.33</v>
      </c>
      <c r="J15" s="474">
        <v>1253.73</v>
      </c>
      <c r="K15" s="474">
        <v>984.1</v>
      </c>
      <c r="L15" s="474">
        <v>620.27</v>
      </c>
      <c r="M15" s="474">
        <v>850.92</v>
      </c>
      <c r="N15" s="474">
        <v>949.74</v>
      </c>
      <c r="O15" s="474">
        <v>1193.0899999999999</v>
      </c>
      <c r="P15" s="474">
        <v>485.54</v>
      </c>
      <c r="Q15" s="474">
        <v>1346.53</v>
      </c>
      <c r="R15" s="474">
        <v>764.34</v>
      </c>
      <c r="S15" s="474">
        <v>811.02</v>
      </c>
      <c r="T15" s="474">
        <v>978.29</v>
      </c>
      <c r="U15" s="474">
        <v>1021.3</v>
      </c>
      <c r="V15" s="474">
        <v>559.83000000000004</v>
      </c>
      <c r="W15" s="474">
        <v>876.4</v>
      </c>
      <c r="X15" s="474">
        <v>1029.92</v>
      </c>
      <c r="Y15" s="474">
        <v>1276.06</v>
      </c>
      <c r="Z15" s="474">
        <v>1323.42</v>
      </c>
      <c r="AA15" s="474">
        <v>1154.8499999999999</v>
      </c>
      <c r="AB15" s="474">
        <v>763.59</v>
      </c>
      <c r="AC15" s="474">
        <v>579.29999999999995</v>
      </c>
      <c r="AD15" s="474">
        <v>1474.21</v>
      </c>
      <c r="AE15" s="474">
        <v>837.39</v>
      </c>
      <c r="AF15" s="474">
        <v>937.17</v>
      </c>
      <c r="AG15" s="474"/>
      <c r="AH15" s="108">
        <f t="shared" si="1"/>
        <v>27651.820000000007</v>
      </c>
      <c r="AI15" s="62"/>
      <c r="AJ15" s="160" t="s">
        <v>36</v>
      </c>
      <c r="AK15" s="161" t="s">
        <v>37</v>
      </c>
    </row>
    <row r="16" spans="1:39" s="461" customFormat="1" hidden="1" x14ac:dyDescent="0.25">
      <c r="A16" s="160" t="s">
        <v>194</v>
      </c>
      <c r="B16" s="161" t="s">
        <v>111</v>
      </c>
      <c r="C16" s="473"/>
      <c r="D16" s="474"/>
      <c r="E16" s="474"/>
      <c r="F16" s="474"/>
      <c r="G16" s="474"/>
      <c r="H16" s="474"/>
      <c r="I16" s="474"/>
      <c r="J16" s="474"/>
      <c r="K16" s="474"/>
      <c r="L16" s="474"/>
      <c r="M16" s="474"/>
      <c r="N16" s="474"/>
      <c r="O16" s="474"/>
      <c r="P16" s="474"/>
      <c r="Q16" s="474"/>
      <c r="R16" s="474"/>
      <c r="S16" s="474"/>
      <c r="T16" s="474"/>
      <c r="U16" s="474"/>
      <c r="V16" s="474"/>
      <c r="W16" s="474"/>
      <c r="X16" s="474"/>
      <c r="Y16" s="474"/>
      <c r="Z16" s="474"/>
      <c r="AA16" s="474"/>
      <c r="AB16" s="474"/>
      <c r="AC16" s="474"/>
      <c r="AD16" s="474"/>
      <c r="AE16" s="474"/>
      <c r="AF16" s="474"/>
      <c r="AG16" s="474"/>
      <c r="AH16" s="108">
        <f t="shared" si="1"/>
        <v>0</v>
      </c>
      <c r="AI16" s="62"/>
      <c r="AJ16" s="160" t="s">
        <v>110</v>
      </c>
      <c r="AK16" s="161" t="s">
        <v>111</v>
      </c>
    </row>
    <row r="17" spans="1:39" s="461" customFormat="1" hidden="1" x14ac:dyDescent="0.25">
      <c r="A17" s="160" t="s">
        <v>36</v>
      </c>
      <c r="B17" s="161" t="s">
        <v>225</v>
      </c>
      <c r="C17" s="473"/>
      <c r="D17" s="474"/>
      <c r="E17" s="474"/>
      <c r="F17" s="474"/>
      <c r="G17" s="474"/>
      <c r="H17" s="474"/>
      <c r="I17" s="474"/>
      <c r="J17" s="474"/>
      <c r="K17" s="474"/>
      <c r="L17" s="474"/>
      <c r="M17" s="474"/>
      <c r="N17" s="474"/>
      <c r="O17" s="474"/>
      <c r="P17" s="474"/>
      <c r="Q17" s="474"/>
      <c r="R17" s="474"/>
      <c r="S17" s="474"/>
      <c r="T17" s="474"/>
      <c r="U17" s="474"/>
      <c r="V17" s="474"/>
      <c r="W17" s="474"/>
      <c r="X17" s="474"/>
      <c r="Y17" s="474"/>
      <c r="Z17" s="474"/>
      <c r="AA17" s="474"/>
      <c r="AB17" s="474"/>
      <c r="AC17" s="474"/>
      <c r="AD17" s="474"/>
      <c r="AE17" s="474"/>
      <c r="AF17" s="474"/>
      <c r="AG17" s="474"/>
      <c r="AH17" s="108">
        <f t="shared" si="1"/>
        <v>0</v>
      </c>
      <c r="AI17" s="62"/>
      <c r="AJ17" s="160" t="s">
        <v>36</v>
      </c>
      <c r="AK17" s="161" t="s">
        <v>225</v>
      </c>
    </row>
    <row r="18" spans="1:39" s="461" customFormat="1" x14ac:dyDescent="0.25">
      <c r="A18" s="160" t="s">
        <v>77</v>
      </c>
      <c r="B18" s="161" t="s">
        <v>193</v>
      </c>
      <c r="C18" s="473">
        <v>40</v>
      </c>
      <c r="D18" s="474">
        <v>412.5</v>
      </c>
      <c r="E18" s="474">
        <v>91.5</v>
      </c>
      <c r="F18" s="474">
        <v>165</v>
      </c>
      <c r="G18" s="474">
        <v>91.5</v>
      </c>
      <c r="H18" s="474"/>
      <c r="I18" s="474"/>
      <c r="J18" s="474">
        <v>235</v>
      </c>
      <c r="K18" s="474">
        <v>70</v>
      </c>
      <c r="L18" s="474">
        <v>255</v>
      </c>
      <c r="M18" s="474"/>
      <c r="N18" s="474">
        <v>88</v>
      </c>
      <c r="O18" s="474">
        <v>24</v>
      </c>
      <c r="P18" s="474">
        <v>509</v>
      </c>
      <c r="Q18" s="474">
        <v>285</v>
      </c>
      <c r="R18" s="474"/>
      <c r="S18" s="474">
        <v>48</v>
      </c>
      <c r="T18" s="474">
        <v>189</v>
      </c>
      <c r="U18" s="474">
        <v>108</v>
      </c>
      <c r="V18" s="474">
        <v>409</v>
      </c>
      <c r="W18" s="474">
        <v>132</v>
      </c>
      <c r="X18" s="474">
        <v>120</v>
      </c>
      <c r="Y18" s="474">
        <v>425</v>
      </c>
      <c r="Z18" s="474">
        <v>215</v>
      </c>
      <c r="AA18" s="474">
        <v>134</v>
      </c>
      <c r="AB18" s="474"/>
      <c r="AC18" s="474">
        <v>24</v>
      </c>
      <c r="AD18" s="474"/>
      <c r="AE18" s="474">
        <v>-125</v>
      </c>
      <c r="AF18" s="474"/>
      <c r="AG18" s="474"/>
      <c r="AH18" s="108">
        <f t="shared" si="1"/>
        <v>3945.5</v>
      </c>
      <c r="AI18" s="62"/>
      <c r="AJ18" s="160" t="s">
        <v>77</v>
      </c>
      <c r="AK18" s="161" t="s">
        <v>78</v>
      </c>
      <c r="AL18" s="475"/>
    </row>
    <row r="19" spans="1:39" s="461" customFormat="1" hidden="1" x14ac:dyDescent="0.25">
      <c r="A19" s="160" t="s">
        <v>38</v>
      </c>
      <c r="B19" s="161" t="s">
        <v>39</v>
      </c>
      <c r="C19" s="473"/>
      <c r="D19" s="474"/>
      <c r="E19" s="474"/>
      <c r="F19" s="474"/>
      <c r="G19" s="474"/>
      <c r="H19" s="474"/>
      <c r="I19" s="474"/>
      <c r="J19" s="474"/>
      <c r="K19" s="474"/>
      <c r="L19" s="474"/>
      <c r="M19" s="474"/>
      <c r="N19" s="474"/>
      <c r="O19" s="474"/>
      <c r="P19" s="474"/>
      <c r="Q19" s="474"/>
      <c r="R19" s="474"/>
      <c r="S19" s="474"/>
      <c r="T19" s="474"/>
      <c r="U19" s="474"/>
      <c r="V19" s="474"/>
      <c r="W19" s="474"/>
      <c r="X19" s="474"/>
      <c r="Y19" s="474"/>
      <c r="Z19" s="474"/>
      <c r="AA19" s="474"/>
      <c r="AB19" s="474"/>
      <c r="AC19" s="474"/>
      <c r="AD19" s="474"/>
      <c r="AE19" s="474"/>
      <c r="AF19" s="474"/>
      <c r="AG19" s="474"/>
      <c r="AH19" s="108">
        <f t="shared" si="1"/>
        <v>0</v>
      </c>
      <c r="AI19" s="62"/>
      <c r="AJ19" s="160" t="s">
        <v>38</v>
      </c>
      <c r="AK19" s="161" t="s">
        <v>39</v>
      </c>
    </row>
    <row r="20" spans="1:39" s="461" customFormat="1" x14ac:dyDescent="0.25">
      <c r="A20" s="160" t="s">
        <v>40</v>
      </c>
      <c r="B20" s="161" t="s">
        <v>228</v>
      </c>
      <c r="C20" s="473"/>
      <c r="D20" s="474"/>
      <c r="E20" s="474"/>
      <c r="F20" s="474">
        <v>90</v>
      </c>
      <c r="G20" s="474"/>
      <c r="H20" s="474"/>
      <c r="I20" s="474"/>
      <c r="J20" s="474"/>
      <c r="K20" s="474"/>
      <c r="L20" s="474">
        <v>90</v>
      </c>
      <c r="M20" s="474"/>
      <c r="N20" s="474">
        <v>45</v>
      </c>
      <c r="O20" s="474">
        <v>45</v>
      </c>
      <c r="P20" s="474"/>
      <c r="Q20" s="474"/>
      <c r="R20" s="474"/>
      <c r="S20" s="474"/>
      <c r="T20" s="474">
        <v>270</v>
      </c>
      <c r="U20" s="474">
        <v>180</v>
      </c>
      <c r="V20" s="474">
        <v>360</v>
      </c>
      <c r="W20" s="474">
        <v>270</v>
      </c>
      <c r="X20" s="474">
        <v>180</v>
      </c>
      <c r="Y20" s="474"/>
      <c r="Z20" s="474"/>
      <c r="AA20" s="474">
        <v>45</v>
      </c>
      <c r="AB20" s="474">
        <v>45</v>
      </c>
      <c r="AC20" s="474"/>
      <c r="AD20" s="474"/>
      <c r="AE20" s="474"/>
      <c r="AF20" s="474"/>
      <c r="AG20" s="474"/>
      <c r="AH20" s="108">
        <f>SUM(C20:AG20)</f>
        <v>1620</v>
      </c>
      <c r="AI20" s="62"/>
      <c r="AJ20" s="160" t="s">
        <v>40</v>
      </c>
      <c r="AK20" s="161" t="s">
        <v>41</v>
      </c>
    </row>
    <row r="21" spans="1:39" s="461" customFormat="1" x14ac:dyDescent="0.25">
      <c r="A21" s="160" t="s">
        <v>161</v>
      </c>
      <c r="B21" s="161" t="s">
        <v>162</v>
      </c>
      <c r="C21" s="473"/>
      <c r="D21" s="474"/>
      <c r="E21" s="474"/>
      <c r="F21" s="474"/>
      <c r="G21" s="474"/>
      <c r="H21" s="474"/>
      <c r="I21" s="474"/>
      <c r="J21" s="474"/>
      <c r="K21" s="474"/>
      <c r="L21" s="474"/>
      <c r="M21" s="474"/>
      <c r="N21" s="474"/>
      <c r="O21" s="474"/>
      <c r="P21" s="474">
        <v>5</v>
      </c>
      <c r="Q21" s="474"/>
      <c r="R21" s="474"/>
      <c r="S21" s="474"/>
      <c r="T21" s="474"/>
      <c r="U21" s="474"/>
      <c r="V21" s="474"/>
      <c r="W21" s="474"/>
      <c r="X21" s="474"/>
      <c r="Y21" s="474"/>
      <c r="Z21" s="474"/>
      <c r="AA21" s="474"/>
      <c r="AB21" s="474">
        <v>5</v>
      </c>
      <c r="AC21" s="474"/>
      <c r="AD21" s="474">
        <v>5</v>
      </c>
      <c r="AE21" s="474"/>
      <c r="AF21" s="474"/>
      <c r="AG21" s="474"/>
      <c r="AH21" s="108">
        <f t="shared" si="1"/>
        <v>15</v>
      </c>
      <c r="AI21" s="62"/>
      <c r="AJ21" s="160" t="s">
        <v>161</v>
      </c>
      <c r="AK21" s="161" t="s">
        <v>163</v>
      </c>
    </row>
    <row r="22" spans="1:39" hidden="1" x14ac:dyDescent="0.25">
      <c r="A22" s="69" t="s">
        <v>42</v>
      </c>
      <c r="B22" s="70" t="s">
        <v>43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42</v>
      </c>
      <c r="AK22" s="70" t="s">
        <v>43</v>
      </c>
    </row>
    <row r="23" spans="1:39" hidden="1" x14ac:dyDescent="0.25">
      <c r="A23" s="69" t="s">
        <v>44</v>
      </c>
      <c r="B23" s="70" t="s">
        <v>45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44</v>
      </c>
      <c r="AK23" s="70" t="s">
        <v>45</v>
      </c>
    </row>
    <row r="24" spans="1:39" hidden="1" x14ac:dyDescent="0.25">
      <c r="A24" s="69" t="s">
        <v>46</v>
      </c>
      <c r="B24" s="70" t="s">
        <v>47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46</v>
      </c>
      <c r="AK24" s="70" t="s">
        <v>47</v>
      </c>
    </row>
    <row r="25" spans="1:39" hidden="1" x14ac:dyDescent="0.25">
      <c r="A25" s="69" t="s">
        <v>48</v>
      </c>
      <c r="B25" s="70" t="s">
        <v>49</v>
      </c>
      <c r="C25" s="71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108">
        <f t="shared" si="1"/>
        <v>0</v>
      </c>
      <c r="AJ25" s="69" t="s">
        <v>48</v>
      </c>
      <c r="AK25" s="70" t="s">
        <v>49</v>
      </c>
      <c r="AM25" s="208"/>
    </row>
    <row r="26" spans="1:39" hidden="1" x14ac:dyDescent="0.25">
      <c r="A26" s="69" t="s">
        <v>50</v>
      </c>
      <c r="B26" s="70" t="s">
        <v>51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69" t="s">
        <v>50</v>
      </c>
      <c r="AK26" s="70" t="s">
        <v>51</v>
      </c>
    </row>
    <row r="27" spans="1:39" hidden="1" x14ac:dyDescent="0.25">
      <c r="A27" s="69" t="s">
        <v>52</v>
      </c>
      <c r="B27" s="70" t="s">
        <v>53</v>
      </c>
      <c r="C27" s="73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108">
        <f t="shared" si="1"/>
        <v>0</v>
      </c>
      <c r="AJ27" s="75" t="s">
        <v>52</v>
      </c>
      <c r="AK27" s="76" t="s">
        <v>53</v>
      </c>
    </row>
    <row r="28" spans="1:39" ht="16.5" thickBot="1" x14ac:dyDescent="0.3">
      <c r="A28" s="77" t="s">
        <v>109</v>
      </c>
      <c r="B28" s="78" t="s">
        <v>175</v>
      </c>
      <c r="C28" s="79"/>
      <c r="D28" s="80"/>
      <c r="E28" s="80">
        <v>100</v>
      </c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>
        <v>10</v>
      </c>
      <c r="Z28" s="80"/>
      <c r="AA28" s="80"/>
      <c r="AB28" s="80"/>
      <c r="AC28" s="80"/>
      <c r="AD28" s="80"/>
      <c r="AE28" s="80"/>
      <c r="AF28" s="80"/>
      <c r="AG28" s="80"/>
      <c r="AH28" s="108">
        <f t="shared" si="1"/>
        <v>110</v>
      </c>
      <c r="AJ28" s="81" t="s">
        <v>109</v>
      </c>
      <c r="AK28" s="82" t="s">
        <v>85</v>
      </c>
      <c r="AL28" s="208"/>
    </row>
    <row r="29" spans="1:39" s="60" customFormat="1" ht="13.5" thickBot="1" x14ac:dyDescent="0.25">
      <c r="A29" s="197"/>
      <c r="B29" s="84" t="s">
        <v>64</v>
      </c>
      <c r="C29" s="107">
        <f t="shared" ref="C29:AG29" si="3">SUM(C3:C28)</f>
        <v>15585.37</v>
      </c>
      <c r="D29" s="107">
        <f t="shared" si="3"/>
        <v>16841.349999999999</v>
      </c>
      <c r="E29" s="107">
        <f t="shared" si="3"/>
        <v>9729.5400000000009</v>
      </c>
      <c r="F29" s="107">
        <f t="shared" si="3"/>
        <v>12116.070000000002</v>
      </c>
      <c r="G29" s="107">
        <f t="shared" si="3"/>
        <v>11981.67</v>
      </c>
      <c r="H29" s="107">
        <f t="shared" si="3"/>
        <v>13242.24</v>
      </c>
      <c r="I29" s="107">
        <f t="shared" si="3"/>
        <v>12029</v>
      </c>
      <c r="J29" s="107">
        <f t="shared" si="3"/>
        <v>19594.419999999998</v>
      </c>
      <c r="K29" s="107">
        <f t="shared" si="3"/>
        <v>16482.68</v>
      </c>
      <c r="L29" s="107">
        <f t="shared" si="3"/>
        <v>10964.66</v>
      </c>
      <c r="M29" s="107">
        <f t="shared" si="3"/>
        <v>14470.34</v>
      </c>
      <c r="N29" s="107">
        <f t="shared" si="3"/>
        <v>14621.669999999998</v>
      </c>
      <c r="O29" s="107">
        <f t="shared" si="3"/>
        <v>15446.27</v>
      </c>
      <c r="P29" s="107">
        <f t="shared" si="3"/>
        <v>12685.27</v>
      </c>
      <c r="Q29" s="107">
        <f t="shared" si="3"/>
        <v>21009.25</v>
      </c>
      <c r="R29" s="107">
        <f t="shared" si="3"/>
        <v>18296.399999999998</v>
      </c>
      <c r="S29" s="107">
        <f t="shared" si="3"/>
        <v>15484.63</v>
      </c>
      <c r="T29" s="107">
        <f t="shared" si="3"/>
        <v>18143.79</v>
      </c>
      <c r="U29" s="107">
        <f t="shared" si="3"/>
        <v>17118.86</v>
      </c>
      <c r="V29" s="107">
        <f t="shared" si="3"/>
        <v>14662.3</v>
      </c>
      <c r="W29" s="107">
        <f t="shared" si="3"/>
        <v>12863.619999999999</v>
      </c>
      <c r="X29" s="107">
        <f t="shared" si="3"/>
        <v>23337.700000000004</v>
      </c>
      <c r="Y29" s="107">
        <f t="shared" si="3"/>
        <v>18337.140000000003</v>
      </c>
      <c r="Z29" s="107">
        <f t="shared" si="3"/>
        <v>16339.08</v>
      </c>
      <c r="AA29" s="107">
        <f t="shared" si="3"/>
        <v>18105.589999999997</v>
      </c>
      <c r="AB29" s="107">
        <f t="shared" si="3"/>
        <v>11429.34</v>
      </c>
      <c r="AC29" s="107">
        <f t="shared" si="3"/>
        <v>10686.57</v>
      </c>
      <c r="AD29" s="107">
        <f t="shared" si="3"/>
        <v>20504.57</v>
      </c>
      <c r="AE29" s="107">
        <f t="shared" si="3"/>
        <v>18097.73</v>
      </c>
      <c r="AF29" s="107">
        <f t="shared" si="3"/>
        <v>19373.399999999998</v>
      </c>
      <c r="AG29" s="107">
        <f t="shared" si="3"/>
        <v>0</v>
      </c>
      <c r="AH29" s="109">
        <f>SUM(C3:AG28)</f>
        <v>469580.52</v>
      </c>
      <c r="AI29" s="85"/>
      <c r="AJ29" s="273"/>
      <c r="AK29" s="274" t="s">
        <v>64</v>
      </c>
    </row>
    <row r="30" spans="1:39" s="60" customFormat="1" ht="13.5" thickBot="1" x14ac:dyDescent="0.25">
      <c r="A30" s="198"/>
      <c r="B30" s="91" t="s">
        <v>104</v>
      </c>
      <c r="C30" s="72">
        <v>15585.37</v>
      </c>
      <c r="D30" s="72">
        <v>16841.349999999999</v>
      </c>
      <c r="E30" s="72">
        <v>9729.5400000000009</v>
      </c>
      <c r="F30" s="72">
        <v>12116.07</v>
      </c>
      <c r="G30" s="72">
        <v>11981.67</v>
      </c>
      <c r="H30" s="72">
        <v>13242.24</v>
      </c>
      <c r="I30" s="72">
        <v>12029</v>
      </c>
      <c r="J30" s="72">
        <v>19594.419999999998</v>
      </c>
      <c r="K30" s="72">
        <v>16482.68</v>
      </c>
      <c r="L30" s="72">
        <v>10964.66</v>
      </c>
      <c r="M30" s="72">
        <v>14470.34</v>
      </c>
      <c r="N30" s="72">
        <v>14621.67</v>
      </c>
      <c r="O30" s="72">
        <v>15446.27</v>
      </c>
      <c r="P30" s="72">
        <v>12685.27</v>
      </c>
      <c r="Q30" s="72">
        <v>21009.25</v>
      </c>
      <c r="R30" s="72">
        <v>18296.400000000001</v>
      </c>
      <c r="S30" s="72">
        <v>15484.63</v>
      </c>
      <c r="T30" s="72">
        <v>18143.79</v>
      </c>
      <c r="U30" s="72">
        <v>17118.86</v>
      </c>
      <c r="V30" s="72">
        <v>14662.3</v>
      </c>
      <c r="W30" s="72">
        <v>12863.62</v>
      </c>
      <c r="X30" s="72">
        <v>23337.7</v>
      </c>
      <c r="Y30" s="72">
        <v>18337.14</v>
      </c>
      <c r="Z30" s="72">
        <v>16339.08</v>
      </c>
      <c r="AA30" s="72">
        <v>18105.59</v>
      </c>
      <c r="AB30" s="72">
        <v>11429.34</v>
      </c>
      <c r="AC30" s="72">
        <v>10686.57</v>
      </c>
      <c r="AD30" s="72">
        <v>20504.57</v>
      </c>
      <c r="AE30" s="72">
        <v>18097.73</v>
      </c>
      <c r="AF30" s="72">
        <v>19373.400000000001</v>
      </c>
      <c r="AG30" s="72"/>
      <c r="AH30" s="189">
        <f>SUM(C30:AG30)</f>
        <v>469580.52000000008</v>
      </c>
      <c r="AI30" s="85"/>
      <c r="AJ30" s="188"/>
      <c r="AK30" s="188"/>
    </row>
    <row r="31" spans="1:39" s="60" customFormat="1" thickBot="1" x14ac:dyDescent="0.3">
      <c r="A31" s="199"/>
      <c r="B31" s="104" t="s">
        <v>103</v>
      </c>
      <c r="C31" s="133">
        <f t="shared" ref="C31:AH31" si="4">C29-C30</f>
        <v>0</v>
      </c>
      <c r="D31" s="133">
        <f t="shared" si="4"/>
        <v>0</v>
      </c>
      <c r="E31" s="133">
        <f t="shared" si="4"/>
        <v>0</v>
      </c>
      <c r="F31" s="133">
        <f t="shared" si="4"/>
        <v>0</v>
      </c>
      <c r="G31" s="133">
        <f t="shared" si="4"/>
        <v>0</v>
      </c>
      <c r="H31" s="133">
        <f t="shared" si="4"/>
        <v>0</v>
      </c>
      <c r="I31" s="133">
        <f t="shared" si="4"/>
        <v>0</v>
      </c>
      <c r="J31" s="133">
        <f t="shared" si="4"/>
        <v>0</v>
      </c>
      <c r="K31" s="133">
        <f t="shared" si="4"/>
        <v>0</v>
      </c>
      <c r="L31" s="133">
        <f t="shared" si="4"/>
        <v>0</v>
      </c>
      <c r="M31" s="133">
        <f t="shared" si="4"/>
        <v>0</v>
      </c>
      <c r="N31" s="133">
        <f t="shared" si="4"/>
        <v>0</v>
      </c>
      <c r="O31" s="133">
        <f t="shared" si="4"/>
        <v>0</v>
      </c>
      <c r="P31" s="133">
        <f t="shared" si="4"/>
        <v>0</v>
      </c>
      <c r="Q31" s="133">
        <f t="shared" si="4"/>
        <v>0</v>
      </c>
      <c r="R31" s="133">
        <f t="shared" si="4"/>
        <v>0</v>
      </c>
      <c r="S31" s="133">
        <f t="shared" si="4"/>
        <v>0</v>
      </c>
      <c r="T31" s="133">
        <f t="shared" si="4"/>
        <v>0</v>
      </c>
      <c r="U31" s="133">
        <f t="shared" si="4"/>
        <v>0</v>
      </c>
      <c r="V31" s="133">
        <f t="shared" si="4"/>
        <v>0</v>
      </c>
      <c r="W31" s="133">
        <f t="shared" si="4"/>
        <v>0</v>
      </c>
      <c r="X31" s="133">
        <f t="shared" si="4"/>
        <v>0</v>
      </c>
      <c r="Y31" s="133">
        <f t="shared" si="4"/>
        <v>0</v>
      </c>
      <c r="Z31" s="133">
        <f t="shared" si="4"/>
        <v>0</v>
      </c>
      <c r="AA31" s="133">
        <f t="shared" si="4"/>
        <v>0</v>
      </c>
      <c r="AB31" s="133">
        <f t="shared" si="4"/>
        <v>0</v>
      </c>
      <c r="AC31" s="133">
        <f t="shared" si="4"/>
        <v>0</v>
      </c>
      <c r="AD31" s="133">
        <f t="shared" si="4"/>
        <v>0</v>
      </c>
      <c r="AE31" s="133">
        <f t="shared" si="4"/>
        <v>0</v>
      </c>
      <c r="AF31" s="133">
        <f t="shared" si="4"/>
        <v>0</v>
      </c>
      <c r="AG31" s="133">
        <f t="shared" si="4"/>
        <v>0</v>
      </c>
      <c r="AH31" s="275">
        <f t="shared" si="4"/>
        <v>0</v>
      </c>
      <c r="AI31" s="85"/>
      <c r="AJ31" s="502" t="s">
        <v>127</v>
      </c>
      <c r="AK31" s="503"/>
      <c r="AL31" s="503"/>
      <c r="AM31" s="504"/>
    </row>
    <row r="32" spans="1:39" ht="16.5" thickBot="1" x14ac:dyDescent="0.3">
      <c r="A32" s="193"/>
      <c r="B32" s="194"/>
      <c r="C32" s="195"/>
      <c r="D32" s="194"/>
      <c r="E32" s="194"/>
      <c r="F32" s="194"/>
      <c r="G32" s="194"/>
      <c r="H32" s="276"/>
      <c r="I32" s="194"/>
      <c r="J32" s="194"/>
      <c r="K32" s="194"/>
      <c r="L32" s="194"/>
      <c r="M32" s="194"/>
      <c r="N32" s="194"/>
      <c r="O32" s="194"/>
      <c r="P32" s="194"/>
      <c r="Q32" s="194"/>
      <c r="R32" s="261"/>
      <c r="S32" s="194"/>
      <c r="T32" s="194"/>
      <c r="U32" s="194"/>
      <c r="V32" s="194"/>
      <c r="W32" s="194"/>
      <c r="X32" s="194"/>
      <c r="Y32" s="195"/>
      <c r="Z32" s="194"/>
      <c r="AA32" s="194"/>
      <c r="AB32" s="194"/>
      <c r="AC32" s="194"/>
      <c r="AD32" s="194"/>
      <c r="AE32" s="194"/>
      <c r="AF32" s="194"/>
      <c r="AG32" s="194"/>
      <c r="AH32" s="196"/>
      <c r="AJ32" s="280" t="s">
        <v>66</v>
      </c>
      <c r="AK32" s="281" t="s">
        <v>128</v>
      </c>
      <c r="AL32" s="281" t="s">
        <v>120</v>
      </c>
      <c r="AM32" s="282" t="s">
        <v>121</v>
      </c>
    </row>
    <row r="33" spans="1:40" x14ac:dyDescent="0.25">
      <c r="A33" s="89" t="s">
        <v>60</v>
      </c>
      <c r="B33" s="84" t="s">
        <v>54</v>
      </c>
      <c r="C33" s="390">
        <v>2456.25</v>
      </c>
      <c r="D33" s="390">
        <v>2855.55</v>
      </c>
      <c r="E33" s="390">
        <v>1093.74</v>
      </c>
      <c r="F33" s="390">
        <v>1941.29</v>
      </c>
      <c r="G33" s="390">
        <v>1355.43</v>
      </c>
      <c r="H33" s="390">
        <v>1501.5</v>
      </c>
      <c r="I33" s="390">
        <v>1660.49</v>
      </c>
      <c r="J33" s="390">
        <v>2024.67</v>
      </c>
      <c r="K33" s="390">
        <v>3342.37</v>
      </c>
      <c r="L33" s="390">
        <v>1274.99</v>
      </c>
      <c r="M33" s="390">
        <v>1984.7</v>
      </c>
      <c r="N33" s="390">
        <v>1791.26</v>
      </c>
      <c r="O33" s="390">
        <v>2741.15</v>
      </c>
      <c r="P33" s="390">
        <v>1305.17</v>
      </c>
      <c r="Q33" s="390">
        <v>2752.45</v>
      </c>
      <c r="R33" s="390">
        <v>2753.15</v>
      </c>
      <c r="S33" s="390">
        <v>1781.45</v>
      </c>
      <c r="T33" s="390">
        <v>2346.6</v>
      </c>
      <c r="U33" s="390">
        <v>2232.6999999999998</v>
      </c>
      <c r="V33" s="390">
        <v>1440.75</v>
      </c>
      <c r="W33" s="390">
        <v>1289</v>
      </c>
      <c r="X33" s="390">
        <v>2469.9899999999998</v>
      </c>
      <c r="Y33" s="390">
        <v>2724.72</v>
      </c>
      <c r="Z33" s="390">
        <v>2752.16</v>
      </c>
      <c r="AA33" s="390">
        <v>2952.25</v>
      </c>
      <c r="AB33" s="390">
        <v>1856.25</v>
      </c>
      <c r="AC33" s="390">
        <v>1000.25</v>
      </c>
      <c r="AD33" s="391">
        <v>2593.7199999999998</v>
      </c>
      <c r="AE33" s="391">
        <v>1976.23</v>
      </c>
      <c r="AF33" s="391">
        <v>2802.5</v>
      </c>
      <c r="AG33" s="391"/>
      <c r="AH33" s="110">
        <f>SUM(C33:AG33)</f>
        <v>63052.73</v>
      </c>
      <c r="AJ33" s="137" t="s">
        <v>60</v>
      </c>
      <c r="AK33" s="138" t="s">
        <v>122</v>
      </c>
      <c r="AL33" s="384">
        <f>SUM(C33:AC33)</f>
        <v>55680.28</v>
      </c>
      <c r="AM33" s="385">
        <f>SUM(AD33:AG33)</f>
        <v>7372.45</v>
      </c>
    </row>
    <row r="34" spans="1:40" x14ac:dyDescent="0.25">
      <c r="A34" s="90" t="s">
        <v>60</v>
      </c>
      <c r="B34" s="91" t="s">
        <v>55</v>
      </c>
      <c r="C34" s="387">
        <v>13130.62</v>
      </c>
      <c r="D34" s="387">
        <v>13961.3</v>
      </c>
      <c r="E34" s="387">
        <v>8662.0499999999993</v>
      </c>
      <c r="F34" s="387">
        <v>10176.799999999999</v>
      </c>
      <c r="G34" s="387">
        <v>10624.87</v>
      </c>
      <c r="H34" s="387">
        <v>11740.74</v>
      </c>
      <c r="I34" s="387">
        <v>10374.01</v>
      </c>
      <c r="J34" s="387">
        <v>17569.75</v>
      </c>
      <c r="K34" s="387">
        <v>13094.41</v>
      </c>
      <c r="L34" s="387">
        <v>9699.67</v>
      </c>
      <c r="M34" s="387">
        <v>12479.34</v>
      </c>
      <c r="N34" s="387">
        <v>12831.42</v>
      </c>
      <c r="O34" s="387">
        <v>12701.12</v>
      </c>
      <c r="P34" s="387">
        <v>11384.5</v>
      </c>
      <c r="Q34" s="387">
        <v>18262.349999999999</v>
      </c>
      <c r="R34" s="387">
        <v>15515.26</v>
      </c>
      <c r="S34" s="387">
        <v>13671.24</v>
      </c>
      <c r="T34" s="387">
        <v>15802.3</v>
      </c>
      <c r="U34" s="387">
        <v>14854.46</v>
      </c>
      <c r="V34" s="387">
        <v>13207.55</v>
      </c>
      <c r="W34" s="387">
        <v>11574.87</v>
      </c>
      <c r="X34" s="387">
        <v>20871.2</v>
      </c>
      <c r="Y34" s="387">
        <v>15640.27</v>
      </c>
      <c r="Z34" s="389">
        <v>13496.78</v>
      </c>
      <c r="AA34" s="389">
        <v>15159.24</v>
      </c>
      <c r="AB34" s="389">
        <v>9575.19</v>
      </c>
      <c r="AC34" s="389">
        <v>9689.32</v>
      </c>
      <c r="AD34" s="389">
        <v>17906.650000000001</v>
      </c>
      <c r="AE34" s="389">
        <v>16019.35</v>
      </c>
      <c r="AF34" s="389">
        <v>16615.650000000001</v>
      </c>
      <c r="AG34" s="389"/>
      <c r="AH34" s="111">
        <f t="shared" ref="AH34:AH38" si="5">SUM(C34:AG34)</f>
        <v>406292.28000000009</v>
      </c>
      <c r="AJ34" s="129" t="s">
        <v>60</v>
      </c>
      <c r="AK34" s="130" t="s">
        <v>198</v>
      </c>
      <c r="AL34" s="288">
        <f>SUM(C34:Y34)-AL45</f>
        <v>298167.01</v>
      </c>
      <c r="AM34" s="289">
        <f>SUM(Z34:AG34)-AM45</f>
        <v>95364.609999999986</v>
      </c>
    </row>
    <row r="35" spans="1:40" x14ac:dyDescent="0.25">
      <c r="A35" s="92" t="s">
        <v>60</v>
      </c>
      <c r="B35" s="93" t="s">
        <v>97</v>
      </c>
      <c r="C35" s="378"/>
      <c r="D35" s="378"/>
      <c r="E35" s="378"/>
      <c r="F35" s="388"/>
      <c r="G35" s="378"/>
      <c r="H35" s="378"/>
      <c r="I35" s="378"/>
      <c r="J35" s="378"/>
      <c r="K35" s="378"/>
      <c r="L35" s="378"/>
      <c r="M35" s="378"/>
      <c r="N35" s="378"/>
      <c r="O35" s="378"/>
      <c r="P35" s="378"/>
      <c r="Q35" s="378"/>
      <c r="R35" s="378"/>
      <c r="S35" s="378"/>
      <c r="T35" s="378"/>
      <c r="U35" s="378"/>
      <c r="V35" s="378"/>
      <c r="W35" s="378"/>
      <c r="X35" s="378"/>
      <c r="Y35" s="379"/>
      <c r="Z35" s="379"/>
      <c r="AA35" s="378"/>
      <c r="AB35" s="378"/>
      <c r="AC35" s="378"/>
      <c r="AD35" s="378"/>
      <c r="AE35" s="378"/>
      <c r="AF35" s="489"/>
      <c r="AG35" s="489"/>
      <c r="AH35" s="111">
        <f t="shared" si="5"/>
        <v>0</v>
      </c>
      <c r="AJ35" s="129" t="s">
        <v>60</v>
      </c>
      <c r="AK35" s="130" t="s">
        <v>123</v>
      </c>
      <c r="AL35" s="288">
        <f>SUM(C35:AE36)</f>
        <v>0</v>
      </c>
      <c r="AM35" s="289">
        <f>SUM(AF35:AG36)</f>
        <v>0</v>
      </c>
    </row>
    <row r="36" spans="1:40" hidden="1" x14ac:dyDescent="0.25">
      <c r="A36" s="92" t="s">
        <v>60</v>
      </c>
      <c r="B36" s="93" t="s">
        <v>98</v>
      </c>
      <c r="C36" s="378"/>
      <c r="D36" s="378"/>
      <c r="E36" s="378"/>
      <c r="F36" s="378"/>
      <c r="G36" s="378"/>
      <c r="H36" s="378"/>
      <c r="I36" s="378"/>
      <c r="J36" s="378"/>
      <c r="K36" s="378"/>
      <c r="L36" s="378"/>
      <c r="M36" s="378"/>
      <c r="N36" s="378"/>
      <c r="O36" s="378"/>
      <c r="P36" s="378"/>
      <c r="Q36" s="378"/>
      <c r="R36" s="378"/>
      <c r="S36" s="378"/>
      <c r="T36" s="378"/>
      <c r="U36" s="378"/>
      <c r="V36" s="378"/>
      <c r="W36" s="378"/>
      <c r="X36" s="378"/>
      <c r="Y36" s="378"/>
      <c r="Z36" s="378"/>
      <c r="AA36" s="378"/>
      <c r="AB36" s="378"/>
      <c r="AC36" s="378"/>
      <c r="AD36" s="378"/>
      <c r="AE36" s="378"/>
      <c r="AF36" s="378"/>
      <c r="AG36" s="378"/>
      <c r="AH36" s="111">
        <f t="shared" si="5"/>
        <v>0</v>
      </c>
      <c r="AJ36" s="129" t="s">
        <v>60</v>
      </c>
      <c r="AK36" s="130" t="s">
        <v>124</v>
      </c>
      <c r="AL36" s="288"/>
      <c r="AM36" s="386"/>
    </row>
    <row r="37" spans="1:40" ht="16.5" customHeight="1" x14ac:dyDescent="0.25">
      <c r="A37" s="92" t="s">
        <v>67</v>
      </c>
      <c r="B37" s="93" t="s">
        <v>68</v>
      </c>
      <c r="C37" s="378"/>
      <c r="D37" s="378"/>
      <c r="E37" s="378"/>
      <c r="F37" s="378"/>
      <c r="G37" s="378"/>
      <c r="H37" s="378"/>
      <c r="I37" s="378"/>
      <c r="J37" s="378"/>
      <c r="K37" s="378"/>
      <c r="L37" s="378"/>
      <c r="M37" s="378"/>
      <c r="N37" s="378"/>
      <c r="O37" s="378"/>
      <c r="P37" s="378"/>
      <c r="Q37" s="378"/>
      <c r="R37" s="378"/>
      <c r="S37" s="378"/>
      <c r="T37" s="378"/>
      <c r="U37" s="378"/>
      <c r="V37" s="378"/>
      <c r="W37" s="378"/>
      <c r="X37" s="378"/>
      <c r="Y37" s="378"/>
      <c r="Z37" s="378"/>
      <c r="AA37" s="378"/>
      <c r="AB37" s="378"/>
      <c r="AC37" s="378"/>
      <c r="AD37" s="378"/>
      <c r="AE37" s="378"/>
      <c r="AF37" s="378"/>
      <c r="AG37" s="378"/>
      <c r="AH37" s="111">
        <f t="shared" si="5"/>
        <v>0</v>
      </c>
      <c r="AJ37" s="129" t="s">
        <v>67</v>
      </c>
      <c r="AK37" s="130" t="s">
        <v>91</v>
      </c>
      <c r="AL37" s="267">
        <f>AH37</f>
        <v>0</v>
      </c>
      <c r="AM37" s="268"/>
      <c r="AN37" s="263" t="s">
        <v>125</v>
      </c>
    </row>
    <row r="38" spans="1:40" ht="16.5" thickBot="1" x14ac:dyDescent="0.3">
      <c r="A38" s="81" t="s">
        <v>109</v>
      </c>
      <c r="B38" s="94" t="s">
        <v>172</v>
      </c>
      <c r="C38" s="380"/>
      <c r="D38" s="380"/>
      <c r="E38" s="380"/>
      <c r="F38" s="380"/>
      <c r="G38" s="380"/>
      <c r="H38" s="380"/>
      <c r="I38" s="380"/>
      <c r="J38" s="380"/>
      <c r="K38" s="380">
        <v>52</v>
      </c>
      <c r="L38" s="380"/>
      <c r="M38" s="380"/>
      <c r="N38" s="380"/>
      <c r="O38" s="380"/>
      <c r="P38" s="380"/>
      <c r="Q38" s="380"/>
      <c r="R38" s="380"/>
      <c r="S38" s="380"/>
      <c r="T38" s="380"/>
      <c r="U38" s="380">
        <v>32</v>
      </c>
      <c r="V38" s="380"/>
      <c r="W38" s="380"/>
      <c r="X38" s="380"/>
      <c r="Y38" s="380"/>
      <c r="Z38" s="380">
        <v>44</v>
      </c>
      <c r="AA38" s="380"/>
      <c r="AB38" s="380"/>
      <c r="AC38" s="380"/>
      <c r="AD38" s="380"/>
      <c r="AE38" s="380"/>
      <c r="AF38" s="380"/>
      <c r="AG38" s="380"/>
      <c r="AH38" s="112">
        <f t="shared" si="5"/>
        <v>128</v>
      </c>
      <c r="AJ38" s="129" t="s">
        <v>109</v>
      </c>
      <c r="AK38" s="130" t="s">
        <v>156</v>
      </c>
      <c r="AL38" s="267">
        <f>AH38</f>
        <v>128</v>
      </c>
      <c r="AM38" s="268"/>
    </row>
    <row r="39" spans="1:40" ht="16.5" thickBot="1" x14ac:dyDescent="0.3">
      <c r="A39" s="200"/>
      <c r="B39" s="191" t="s">
        <v>65</v>
      </c>
      <c r="C39" s="107">
        <f t="shared" ref="C39:AG39" si="6">SUM(C33:C38)</f>
        <v>15586.87</v>
      </c>
      <c r="D39" s="107">
        <f t="shared" si="6"/>
        <v>16816.849999999999</v>
      </c>
      <c r="E39" s="107">
        <f t="shared" si="6"/>
        <v>9755.7899999999991</v>
      </c>
      <c r="F39" s="107">
        <f t="shared" si="6"/>
        <v>12118.09</v>
      </c>
      <c r="G39" s="107">
        <f t="shared" si="6"/>
        <v>11980.300000000001</v>
      </c>
      <c r="H39" s="107">
        <f t="shared" si="6"/>
        <v>13242.24</v>
      </c>
      <c r="I39" s="107">
        <f t="shared" si="6"/>
        <v>12034.5</v>
      </c>
      <c r="J39" s="107">
        <f t="shared" si="6"/>
        <v>19594.419999999998</v>
      </c>
      <c r="K39" s="107">
        <f t="shared" si="6"/>
        <v>16488.78</v>
      </c>
      <c r="L39" s="107">
        <f t="shared" si="6"/>
        <v>10974.66</v>
      </c>
      <c r="M39" s="107">
        <f t="shared" si="6"/>
        <v>14464.04</v>
      </c>
      <c r="N39" s="107">
        <f t="shared" si="6"/>
        <v>14622.68</v>
      </c>
      <c r="O39" s="107">
        <f t="shared" si="6"/>
        <v>15442.27</v>
      </c>
      <c r="P39" s="107">
        <f t="shared" si="6"/>
        <v>12689.67</v>
      </c>
      <c r="Q39" s="107">
        <f t="shared" si="6"/>
        <v>21014.799999999999</v>
      </c>
      <c r="R39" s="107">
        <f t="shared" si="6"/>
        <v>18268.41</v>
      </c>
      <c r="S39" s="107">
        <f t="shared" si="6"/>
        <v>15452.69</v>
      </c>
      <c r="T39" s="107">
        <f t="shared" si="6"/>
        <v>18148.899999999998</v>
      </c>
      <c r="U39" s="107">
        <f t="shared" si="6"/>
        <v>17119.16</v>
      </c>
      <c r="V39" s="107">
        <f t="shared" si="6"/>
        <v>14648.3</v>
      </c>
      <c r="W39" s="107">
        <f t="shared" si="6"/>
        <v>12863.87</v>
      </c>
      <c r="X39" s="107">
        <f t="shared" si="6"/>
        <v>23341.190000000002</v>
      </c>
      <c r="Y39" s="107">
        <f t="shared" si="6"/>
        <v>18364.990000000002</v>
      </c>
      <c r="Z39" s="107">
        <f t="shared" si="6"/>
        <v>16292.94</v>
      </c>
      <c r="AA39" s="107">
        <f t="shared" si="6"/>
        <v>18111.489999999998</v>
      </c>
      <c r="AB39" s="107">
        <f t="shared" si="6"/>
        <v>11431.44</v>
      </c>
      <c r="AC39" s="107">
        <f t="shared" si="6"/>
        <v>10689.57</v>
      </c>
      <c r="AD39" s="107">
        <f t="shared" si="6"/>
        <v>20500.370000000003</v>
      </c>
      <c r="AE39" s="107">
        <f t="shared" si="6"/>
        <v>17995.580000000002</v>
      </c>
      <c r="AF39" s="107">
        <f t="shared" si="6"/>
        <v>19418.150000000001</v>
      </c>
      <c r="AG39" s="107">
        <f t="shared" si="6"/>
        <v>0</v>
      </c>
      <c r="AH39" s="110">
        <f>SUM(C39:AG39)</f>
        <v>469473.01</v>
      </c>
      <c r="AI39" s="59"/>
      <c r="AJ39" s="498" t="s">
        <v>76</v>
      </c>
      <c r="AK39" s="499"/>
      <c r="AL39" s="500">
        <f>SUM(AL33:AM38)</f>
        <v>456712.35</v>
      </c>
      <c r="AM39" s="501"/>
      <c r="AN39" s="271">
        <f>AL39-AH39+AL45+AM45+AL43</f>
        <v>107.50999999996066</v>
      </c>
    </row>
    <row r="40" spans="1:40" x14ac:dyDescent="0.25">
      <c r="A40" s="201"/>
      <c r="B40" s="192" t="s">
        <v>104</v>
      </c>
      <c r="C40" s="72">
        <f>C30</f>
        <v>15585.37</v>
      </c>
      <c r="D40" s="72">
        <f t="shared" ref="D40:AG40" si="7">D30</f>
        <v>16841.349999999999</v>
      </c>
      <c r="E40" s="72">
        <f t="shared" si="7"/>
        <v>9729.5400000000009</v>
      </c>
      <c r="F40" s="72">
        <f t="shared" si="7"/>
        <v>12116.07</v>
      </c>
      <c r="G40" s="72">
        <f t="shared" si="7"/>
        <v>11981.67</v>
      </c>
      <c r="H40" s="72">
        <f t="shared" si="7"/>
        <v>13242.24</v>
      </c>
      <c r="I40" s="72">
        <f t="shared" si="7"/>
        <v>12029</v>
      </c>
      <c r="J40" s="72">
        <f t="shared" si="7"/>
        <v>19594.419999999998</v>
      </c>
      <c r="K40" s="72">
        <f t="shared" si="7"/>
        <v>16482.68</v>
      </c>
      <c r="L40" s="72">
        <f t="shared" si="7"/>
        <v>10964.66</v>
      </c>
      <c r="M40" s="72">
        <f t="shared" si="7"/>
        <v>14470.34</v>
      </c>
      <c r="N40" s="72">
        <f t="shared" si="7"/>
        <v>14621.67</v>
      </c>
      <c r="O40" s="72">
        <f t="shared" si="7"/>
        <v>15446.27</v>
      </c>
      <c r="P40" s="72">
        <f t="shared" si="7"/>
        <v>12685.27</v>
      </c>
      <c r="Q40" s="72">
        <f t="shared" si="7"/>
        <v>21009.25</v>
      </c>
      <c r="R40" s="72">
        <f t="shared" si="7"/>
        <v>18296.400000000001</v>
      </c>
      <c r="S40" s="72">
        <f t="shared" si="7"/>
        <v>15484.63</v>
      </c>
      <c r="T40" s="72">
        <f t="shared" si="7"/>
        <v>18143.79</v>
      </c>
      <c r="U40" s="72">
        <f t="shared" si="7"/>
        <v>17118.86</v>
      </c>
      <c r="V40" s="72">
        <f t="shared" si="7"/>
        <v>14662.3</v>
      </c>
      <c r="W40" s="72">
        <f t="shared" si="7"/>
        <v>12863.62</v>
      </c>
      <c r="X40" s="72">
        <f t="shared" si="7"/>
        <v>23337.7</v>
      </c>
      <c r="Y40" s="72">
        <f t="shared" si="7"/>
        <v>18337.14</v>
      </c>
      <c r="Z40" s="72">
        <f t="shared" si="7"/>
        <v>16339.08</v>
      </c>
      <c r="AA40" s="72">
        <f t="shared" si="7"/>
        <v>18105.59</v>
      </c>
      <c r="AB40" s="72">
        <f t="shared" si="7"/>
        <v>11429.34</v>
      </c>
      <c r="AC40" s="72">
        <f t="shared" si="7"/>
        <v>10686.57</v>
      </c>
      <c r="AD40" s="72">
        <f t="shared" si="7"/>
        <v>20504.57</v>
      </c>
      <c r="AE40" s="72">
        <f t="shared" si="7"/>
        <v>18097.73</v>
      </c>
      <c r="AF40" s="72">
        <f t="shared" si="7"/>
        <v>19373.400000000001</v>
      </c>
      <c r="AG40" s="72">
        <f t="shared" si="7"/>
        <v>0</v>
      </c>
      <c r="AH40" s="111">
        <f t="shared" ref="AH40:AH41" si="8">SUM(C40:AG40)</f>
        <v>469580.52000000008</v>
      </c>
      <c r="AJ40" s="59"/>
      <c r="AK40" s="59"/>
    </row>
    <row r="41" spans="1:40" ht="16.5" thickBot="1" x14ac:dyDescent="0.3">
      <c r="A41" s="202"/>
      <c r="B41" s="104" t="s">
        <v>103</v>
      </c>
      <c r="C41" s="133">
        <f>C39-C40</f>
        <v>1.5</v>
      </c>
      <c r="D41" s="133">
        <f>D39-D40</f>
        <v>-24.5</v>
      </c>
      <c r="E41" s="133">
        <f>E39-E40</f>
        <v>26.249999999998181</v>
      </c>
      <c r="F41" s="133">
        <f t="shared" ref="F41:AG41" si="9">F39-F40</f>
        <v>2.0200000000004366</v>
      </c>
      <c r="G41" s="133">
        <f t="shared" si="9"/>
        <v>-1.3699999999989814</v>
      </c>
      <c r="H41" s="133">
        <f t="shared" si="9"/>
        <v>0</v>
      </c>
      <c r="I41" s="133">
        <f t="shared" si="9"/>
        <v>5.5</v>
      </c>
      <c r="J41" s="133">
        <f t="shared" si="9"/>
        <v>0</v>
      </c>
      <c r="K41" s="133">
        <f t="shared" si="9"/>
        <v>6.0999999999985448</v>
      </c>
      <c r="L41" s="133">
        <f t="shared" si="9"/>
        <v>10</v>
      </c>
      <c r="M41" s="133">
        <f t="shared" si="9"/>
        <v>-6.2999999999992724</v>
      </c>
      <c r="N41" s="133">
        <f t="shared" si="9"/>
        <v>1.0100000000002183</v>
      </c>
      <c r="O41" s="133">
        <f t="shared" si="9"/>
        <v>-4</v>
      </c>
      <c r="P41" s="133">
        <f t="shared" si="9"/>
        <v>4.3999999999996362</v>
      </c>
      <c r="Q41" s="133">
        <f t="shared" si="9"/>
        <v>5.5499999999992724</v>
      </c>
      <c r="R41" s="133">
        <f t="shared" si="9"/>
        <v>-27.990000000001601</v>
      </c>
      <c r="S41" s="133">
        <f t="shared" si="9"/>
        <v>-31.93999999999869</v>
      </c>
      <c r="T41" s="133">
        <f t="shared" si="9"/>
        <v>5.1099999999969441</v>
      </c>
      <c r="U41" s="133">
        <f t="shared" si="9"/>
        <v>0.2999999999992724</v>
      </c>
      <c r="V41" s="133">
        <f t="shared" si="9"/>
        <v>-14</v>
      </c>
      <c r="W41" s="133">
        <f t="shared" si="9"/>
        <v>0.25</v>
      </c>
      <c r="X41" s="133">
        <f t="shared" si="9"/>
        <v>3.4900000000016007</v>
      </c>
      <c r="Y41" s="133">
        <f t="shared" si="9"/>
        <v>27.850000000002183</v>
      </c>
      <c r="Z41" s="133">
        <f t="shared" si="9"/>
        <v>-46.139999999999418</v>
      </c>
      <c r="AA41" s="133">
        <f t="shared" si="9"/>
        <v>5.8999999999978172</v>
      </c>
      <c r="AB41" s="133">
        <f t="shared" si="9"/>
        <v>2.1000000000003638</v>
      </c>
      <c r="AC41" s="133">
        <f t="shared" si="9"/>
        <v>3</v>
      </c>
      <c r="AD41" s="133">
        <f t="shared" si="9"/>
        <v>-4.1999999999970896</v>
      </c>
      <c r="AE41" s="133">
        <f t="shared" si="9"/>
        <v>-102.14999999999782</v>
      </c>
      <c r="AF41" s="133">
        <f t="shared" si="9"/>
        <v>44.75</v>
      </c>
      <c r="AG41" s="133">
        <f t="shared" si="9"/>
        <v>0</v>
      </c>
      <c r="AH41" s="112">
        <f t="shared" si="8"/>
        <v>-107.5099999999984</v>
      </c>
      <c r="AJ41" s="375">
        <f>AH39-AH40</f>
        <v>-107.51000000006752</v>
      </c>
      <c r="AK41" s="266"/>
      <c r="AL41" s="99"/>
    </row>
    <row r="42" spans="1:40" ht="16.5" thickBot="1" x14ac:dyDescent="0.3">
      <c r="A42" s="95"/>
      <c r="B42" s="96"/>
      <c r="C42" s="97"/>
      <c r="D42" s="96"/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8"/>
      <c r="AJ42" s="266"/>
      <c r="AK42" s="266"/>
      <c r="AL42" s="99"/>
      <c r="AM42" s="188"/>
      <c r="AN42" s="190"/>
    </row>
    <row r="43" spans="1:40" s="99" customFormat="1" ht="16.5" thickBot="1" x14ac:dyDescent="0.3">
      <c r="A43" s="100"/>
      <c r="B43" s="101" t="s">
        <v>56</v>
      </c>
      <c r="C43" s="114">
        <f t="shared" ref="C43:AG43" si="10">SUM(C3:C28)-SUM(C33:C38)</f>
        <v>-1.5</v>
      </c>
      <c r="D43" s="114">
        <f t="shared" si="10"/>
        <v>24.5</v>
      </c>
      <c r="E43" s="114">
        <f t="shared" si="10"/>
        <v>-26.249999999998181</v>
      </c>
      <c r="F43" s="114">
        <f t="shared" si="10"/>
        <v>-2.0199999999986176</v>
      </c>
      <c r="G43" s="114">
        <f t="shared" si="10"/>
        <v>1.3699999999989814</v>
      </c>
      <c r="H43" s="114">
        <f t="shared" si="10"/>
        <v>0</v>
      </c>
      <c r="I43" s="114">
        <f t="shared" si="10"/>
        <v>-5.5</v>
      </c>
      <c r="J43" s="114">
        <f t="shared" si="10"/>
        <v>0</v>
      </c>
      <c r="K43" s="114">
        <f t="shared" si="10"/>
        <v>-6.0999999999985448</v>
      </c>
      <c r="L43" s="114">
        <f t="shared" si="10"/>
        <v>-10</v>
      </c>
      <c r="M43" s="114">
        <f t="shared" si="10"/>
        <v>6.2999999999992724</v>
      </c>
      <c r="N43" s="114">
        <f t="shared" si="10"/>
        <v>-1.0100000000020373</v>
      </c>
      <c r="O43" s="114">
        <f t="shared" si="10"/>
        <v>4</v>
      </c>
      <c r="P43" s="114">
        <f t="shared" si="10"/>
        <v>-4.3999999999996362</v>
      </c>
      <c r="Q43" s="114">
        <f t="shared" si="10"/>
        <v>-5.5499999999992724</v>
      </c>
      <c r="R43" s="114">
        <f t="shared" si="10"/>
        <v>27.989999999997963</v>
      </c>
      <c r="S43" s="114">
        <f t="shared" si="10"/>
        <v>31.93999999999869</v>
      </c>
      <c r="T43" s="114">
        <f t="shared" si="10"/>
        <v>-5.1099999999969441</v>
      </c>
      <c r="U43" s="114">
        <f t="shared" si="10"/>
        <v>-0.2999999999992724</v>
      </c>
      <c r="V43" s="114">
        <f t="shared" si="10"/>
        <v>14</v>
      </c>
      <c r="W43" s="114">
        <f t="shared" si="10"/>
        <v>-0.25000000000181899</v>
      </c>
      <c r="X43" s="114">
        <f t="shared" si="10"/>
        <v>-3.4899999999979627</v>
      </c>
      <c r="Y43" s="114">
        <f t="shared" si="10"/>
        <v>-27.849999999998545</v>
      </c>
      <c r="Z43" s="114">
        <f t="shared" si="10"/>
        <v>46.139999999999418</v>
      </c>
      <c r="AA43" s="114">
        <f t="shared" si="10"/>
        <v>-5.9000000000014552</v>
      </c>
      <c r="AB43" s="114">
        <f t="shared" si="10"/>
        <v>-2.1000000000003638</v>
      </c>
      <c r="AC43" s="114">
        <f t="shared" si="10"/>
        <v>-3</v>
      </c>
      <c r="AD43" s="114">
        <f t="shared" si="10"/>
        <v>4.1999999999970896</v>
      </c>
      <c r="AE43" s="114">
        <f t="shared" si="10"/>
        <v>102.14999999999782</v>
      </c>
      <c r="AF43" s="114">
        <f t="shared" si="10"/>
        <v>-44.750000000003638</v>
      </c>
      <c r="AG43" s="114">
        <f t="shared" si="10"/>
        <v>0</v>
      </c>
      <c r="AH43" s="115">
        <f>SUM(C43:AG43)</f>
        <v>107.50999999999294</v>
      </c>
      <c r="AI43" s="62"/>
      <c r="AJ43" s="209" t="s">
        <v>32</v>
      </c>
      <c r="AK43" s="210" t="s">
        <v>90</v>
      </c>
      <c r="AL43" s="269">
        <f>AH43</f>
        <v>107.50999999999294</v>
      </c>
      <c r="AM43" s="270"/>
      <c r="AN43" s="272" t="s">
        <v>126</v>
      </c>
    </row>
    <row r="44" spans="1:40" s="102" customFormat="1" ht="16.5" thickBot="1" x14ac:dyDescent="0.3">
      <c r="A44" s="222"/>
      <c r="B44" s="223"/>
      <c r="C44" s="223"/>
      <c r="D44" s="223"/>
      <c r="E44" s="223"/>
      <c r="F44" s="223"/>
      <c r="G44" s="223"/>
      <c r="H44" s="223"/>
      <c r="I44" s="223"/>
      <c r="J44" s="223"/>
      <c r="K44" s="223"/>
      <c r="L44" s="223"/>
      <c r="M44" s="223"/>
      <c r="N44" s="223"/>
      <c r="O44" s="223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23"/>
      <c r="AB44" s="223"/>
      <c r="AC44" s="223"/>
      <c r="AD44" s="223"/>
      <c r="AE44" s="223"/>
      <c r="AF44" s="223"/>
      <c r="AG44" s="223"/>
      <c r="AH44" s="224"/>
      <c r="AI44" s="62"/>
      <c r="AJ44" s="222"/>
      <c r="AK44" s="223"/>
      <c r="AL44" s="99"/>
      <c r="AM44" s="102">
        <f>AL39+AL43+AM43+AL45+AM45</f>
        <v>469580.52</v>
      </c>
      <c r="AN44" s="102">
        <f>AM44-AH29</f>
        <v>0</v>
      </c>
    </row>
    <row r="45" spans="1:40" s="99" customFormat="1" ht="16.5" thickBot="1" x14ac:dyDescent="0.3">
      <c r="A45" s="209" t="s">
        <v>196</v>
      </c>
      <c r="B45" s="101" t="s">
        <v>195</v>
      </c>
      <c r="C45" s="210">
        <v>413.4</v>
      </c>
      <c r="D45" s="210">
        <v>438.63</v>
      </c>
      <c r="E45" s="210">
        <v>270.11</v>
      </c>
      <c r="F45" s="210">
        <v>321.92</v>
      </c>
      <c r="G45" s="210">
        <v>333.21</v>
      </c>
      <c r="H45" s="210">
        <v>367.29</v>
      </c>
      <c r="I45" s="210">
        <v>329.03</v>
      </c>
      <c r="J45" s="210">
        <v>551.74</v>
      </c>
      <c r="K45" s="210">
        <v>411.3</v>
      </c>
      <c r="L45" s="210">
        <v>302.5</v>
      </c>
      <c r="M45" s="210">
        <v>389.16</v>
      </c>
      <c r="N45" s="210">
        <v>400.9</v>
      </c>
      <c r="O45" s="210">
        <v>397.66</v>
      </c>
      <c r="P45" s="210">
        <v>361.75</v>
      </c>
      <c r="Q45" s="210">
        <v>570.57000000000005</v>
      </c>
      <c r="R45" s="210">
        <v>488.14</v>
      </c>
      <c r="S45" s="210">
        <v>428</v>
      </c>
      <c r="T45" s="210">
        <v>500.12</v>
      </c>
      <c r="U45" s="210">
        <v>463.26</v>
      </c>
      <c r="V45" s="210">
        <v>420.43</v>
      </c>
      <c r="W45" s="210">
        <v>361.52</v>
      </c>
      <c r="X45" s="210">
        <v>651.69000000000005</v>
      </c>
      <c r="Y45" s="210">
        <v>490.76</v>
      </c>
      <c r="Z45" s="490">
        <v>423.4</v>
      </c>
      <c r="AA45" s="490">
        <v>474.13</v>
      </c>
      <c r="AB45" s="490">
        <v>298.99</v>
      </c>
      <c r="AC45" s="490">
        <v>304.23</v>
      </c>
      <c r="AD45" s="490">
        <v>560.54</v>
      </c>
      <c r="AE45" s="490">
        <v>513.01</v>
      </c>
      <c r="AF45" s="490">
        <v>523.27</v>
      </c>
      <c r="AG45" s="491"/>
      <c r="AH45" s="115">
        <f t="shared" ref="AH45" si="11">SUM(C45:AG45)</f>
        <v>12760.659999999998</v>
      </c>
      <c r="AI45" s="62"/>
      <c r="AJ45" s="209" t="s">
        <v>196</v>
      </c>
      <c r="AK45" s="210" t="s">
        <v>197</v>
      </c>
      <c r="AL45" s="269">
        <f>SUM(C45:Y45)</f>
        <v>9663.09</v>
      </c>
      <c r="AM45" s="270">
        <f>SUM(Z45:AG45)</f>
        <v>3097.57</v>
      </c>
      <c r="AN45" s="272"/>
    </row>
    <row r="46" spans="1:40" s="102" customFormat="1" ht="16.5" thickBot="1" x14ac:dyDescent="0.3">
      <c r="A46" s="222"/>
      <c r="B46" s="223" t="s">
        <v>232</v>
      </c>
      <c r="C46" s="476">
        <f>C34-C45</f>
        <v>12717.220000000001</v>
      </c>
      <c r="D46" s="476">
        <f t="shared" ref="D46:AG46" si="12">D34-D45</f>
        <v>13522.67</v>
      </c>
      <c r="E46" s="476">
        <f t="shared" si="12"/>
        <v>8391.9399999999987</v>
      </c>
      <c r="F46" s="476">
        <f t="shared" si="12"/>
        <v>9854.8799999999992</v>
      </c>
      <c r="G46" s="476">
        <f t="shared" si="12"/>
        <v>10291.660000000002</v>
      </c>
      <c r="H46" s="476">
        <f t="shared" si="12"/>
        <v>11373.449999999999</v>
      </c>
      <c r="I46" s="476">
        <f t="shared" si="12"/>
        <v>10044.98</v>
      </c>
      <c r="J46" s="476">
        <f t="shared" si="12"/>
        <v>17018.009999999998</v>
      </c>
      <c r="K46" s="476">
        <f t="shared" si="12"/>
        <v>12683.11</v>
      </c>
      <c r="L46" s="476">
        <f t="shared" si="12"/>
        <v>9397.17</v>
      </c>
      <c r="M46" s="476">
        <f t="shared" si="12"/>
        <v>12090.18</v>
      </c>
      <c r="N46" s="476">
        <f t="shared" si="12"/>
        <v>12430.52</v>
      </c>
      <c r="O46" s="476">
        <f t="shared" si="12"/>
        <v>12303.460000000001</v>
      </c>
      <c r="P46" s="476">
        <f t="shared" si="12"/>
        <v>11022.75</v>
      </c>
      <c r="Q46" s="476">
        <f t="shared" si="12"/>
        <v>17691.78</v>
      </c>
      <c r="R46" s="476">
        <f t="shared" si="12"/>
        <v>15027.12</v>
      </c>
      <c r="S46" s="476">
        <f t="shared" si="12"/>
        <v>13243.24</v>
      </c>
      <c r="T46" s="476">
        <f t="shared" si="12"/>
        <v>15302.179999999998</v>
      </c>
      <c r="U46" s="476">
        <f t="shared" si="12"/>
        <v>14391.199999999999</v>
      </c>
      <c r="V46" s="476">
        <f t="shared" si="12"/>
        <v>12787.119999999999</v>
      </c>
      <c r="W46" s="476">
        <f t="shared" si="12"/>
        <v>11213.35</v>
      </c>
      <c r="X46" s="476">
        <f t="shared" si="12"/>
        <v>20219.510000000002</v>
      </c>
      <c r="Y46" s="476">
        <f t="shared" si="12"/>
        <v>15149.51</v>
      </c>
      <c r="Z46" s="476">
        <f t="shared" si="12"/>
        <v>13073.380000000001</v>
      </c>
      <c r="AA46" s="476">
        <f t="shared" si="12"/>
        <v>14685.11</v>
      </c>
      <c r="AB46" s="476">
        <f t="shared" si="12"/>
        <v>9276.2000000000007</v>
      </c>
      <c r="AC46" s="476">
        <f t="shared" si="12"/>
        <v>9385.09</v>
      </c>
      <c r="AD46" s="476">
        <f t="shared" si="12"/>
        <v>17346.11</v>
      </c>
      <c r="AE46" s="476">
        <f t="shared" si="12"/>
        <v>15506.34</v>
      </c>
      <c r="AF46" s="476">
        <f t="shared" si="12"/>
        <v>16092.380000000001</v>
      </c>
      <c r="AG46" s="476">
        <f t="shared" si="12"/>
        <v>0</v>
      </c>
      <c r="AH46" s="224"/>
      <c r="AI46" s="62"/>
      <c r="AJ46" s="222"/>
      <c r="AK46" s="223"/>
      <c r="AL46" s="99"/>
    </row>
    <row r="47" spans="1:40" x14ac:dyDescent="0.25">
      <c r="A47" s="126"/>
      <c r="B47" s="211" t="s">
        <v>57</v>
      </c>
      <c r="C47" s="84">
        <v>629</v>
      </c>
      <c r="D47" s="84">
        <v>688</v>
      </c>
      <c r="E47" s="84">
        <v>430</v>
      </c>
      <c r="F47" s="84">
        <v>511</v>
      </c>
      <c r="G47" s="84">
        <v>478</v>
      </c>
      <c r="H47" s="84">
        <v>558</v>
      </c>
      <c r="I47" s="84">
        <v>497</v>
      </c>
      <c r="J47" s="84">
        <v>770</v>
      </c>
      <c r="K47" s="84">
        <v>627</v>
      </c>
      <c r="L47" s="84">
        <v>466</v>
      </c>
      <c r="M47" s="84">
        <v>600</v>
      </c>
      <c r="N47" s="84">
        <v>646</v>
      </c>
      <c r="O47" s="84">
        <v>727</v>
      </c>
      <c r="P47" s="84">
        <v>437</v>
      </c>
      <c r="Q47" s="84">
        <v>871</v>
      </c>
      <c r="R47" s="84">
        <v>795</v>
      </c>
      <c r="S47" s="84">
        <v>671</v>
      </c>
      <c r="T47" s="84">
        <v>747</v>
      </c>
      <c r="U47" s="84">
        <v>750</v>
      </c>
      <c r="V47" s="84">
        <v>519</v>
      </c>
      <c r="W47" s="84">
        <v>536</v>
      </c>
      <c r="X47" s="84">
        <v>899</v>
      </c>
      <c r="Y47" s="84">
        <v>710</v>
      </c>
      <c r="Z47" s="84">
        <v>745</v>
      </c>
      <c r="AA47" s="84">
        <v>758</v>
      </c>
      <c r="AB47" s="84">
        <v>519</v>
      </c>
      <c r="AC47" s="84">
        <v>398</v>
      </c>
      <c r="AD47" s="84">
        <v>896</v>
      </c>
      <c r="AE47" s="84">
        <v>662</v>
      </c>
      <c r="AF47" s="84">
        <v>822</v>
      </c>
      <c r="AG47" s="84"/>
      <c r="AH47" s="103">
        <f>SUM(C47:AG47)</f>
        <v>19362</v>
      </c>
      <c r="AJ47" s="126">
        <f>AH47</f>
        <v>19362</v>
      </c>
      <c r="AK47" s="216" t="s">
        <v>57</v>
      </c>
      <c r="AL47" s="102"/>
      <c r="AM47" s="102"/>
      <c r="AN47" s="102"/>
    </row>
    <row r="48" spans="1:40" ht="16.5" thickBot="1" x14ac:dyDescent="0.3">
      <c r="A48" s="135"/>
      <c r="B48" s="212" t="s">
        <v>58</v>
      </c>
      <c r="C48" s="94">
        <v>105</v>
      </c>
      <c r="D48" s="94">
        <v>151</v>
      </c>
      <c r="E48" s="94">
        <v>70</v>
      </c>
      <c r="F48" s="94">
        <v>71</v>
      </c>
      <c r="G48" s="94">
        <v>91</v>
      </c>
      <c r="H48" s="94">
        <v>121</v>
      </c>
      <c r="I48" s="94">
        <v>84</v>
      </c>
      <c r="J48" s="94">
        <v>106</v>
      </c>
      <c r="K48" s="94">
        <v>138</v>
      </c>
      <c r="L48" s="94">
        <v>87</v>
      </c>
      <c r="M48" s="94">
        <v>98</v>
      </c>
      <c r="N48" s="94">
        <v>96</v>
      </c>
      <c r="O48" s="94">
        <v>94</v>
      </c>
      <c r="P48" s="94">
        <v>39</v>
      </c>
      <c r="Q48" s="94">
        <v>136</v>
      </c>
      <c r="R48" s="94">
        <v>122</v>
      </c>
      <c r="S48" s="94">
        <v>88</v>
      </c>
      <c r="T48" s="94">
        <v>83</v>
      </c>
      <c r="U48" s="94">
        <v>141</v>
      </c>
      <c r="V48" s="94">
        <v>79</v>
      </c>
      <c r="W48" s="94">
        <v>52</v>
      </c>
      <c r="X48" s="94">
        <v>94</v>
      </c>
      <c r="Y48" s="94">
        <v>152</v>
      </c>
      <c r="Z48" s="94">
        <v>137</v>
      </c>
      <c r="AA48" s="94">
        <v>120</v>
      </c>
      <c r="AB48" s="94">
        <v>100</v>
      </c>
      <c r="AC48" s="94">
        <v>63</v>
      </c>
      <c r="AD48" s="94">
        <v>109</v>
      </c>
      <c r="AE48" s="94">
        <v>106</v>
      </c>
      <c r="AF48" s="94">
        <v>124</v>
      </c>
      <c r="AG48" s="94"/>
      <c r="AH48" s="105">
        <f>SUM(C48:AG48)</f>
        <v>3057</v>
      </c>
      <c r="AJ48" s="135">
        <f>AH48</f>
        <v>3057</v>
      </c>
      <c r="AK48" s="217" t="s">
        <v>58</v>
      </c>
    </row>
    <row r="49" spans="1:37" ht="16.5" thickBot="1" x14ac:dyDescent="0.3">
      <c r="A49" s="221"/>
      <c r="B49" s="225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8"/>
      <c r="AJ49" s="221"/>
      <c r="AK49" s="225"/>
    </row>
    <row r="50" spans="1:37" ht="16.5" thickBot="1" x14ac:dyDescent="0.3">
      <c r="A50" s="209"/>
      <c r="B50" s="210" t="s">
        <v>106</v>
      </c>
      <c r="C50" s="210">
        <f>C47+C48</f>
        <v>734</v>
      </c>
      <c r="D50" s="210">
        <f t="shared" ref="D50:AG50" si="13">D47+D48</f>
        <v>839</v>
      </c>
      <c r="E50" s="210">
        <f t="shared" si="13"/>
        <v>500</v>
      </c>
      <c r="F50" s="210">
        <f t="shared" si="13"/>
        <v>582</v>
      </c>
      <c r="G50" s="210">
        <f t="shared" si="13"/>
        <v>569</v>
      </c>
      <c r="H50" s="210">
        <f t="shared" si="13"/>
        <v>679</v>
      </c>
      <c r="I50" s="210">
        <f t="shared" si="13"/>
        <v>581</v>
      </c>
      <c r="J50" s="210">
        <f t="shared" si="13"/>
        <v>876</v>
      </c>
      <c r="K50" s="210">
        <f t="shared" si="13"/>
        <v>765</v>
      </c>
      <c r="L50" s="210">
        <f t="shared" si="13"/>
        <v>553</v>
      </c>
      <c r="M50" s="210">
        <f t="shared" si="13"/>
        <v>698</v>
      </c>
      <c r="N50" s="210">
        <f t="shared" si="13"/>
        <v>742</v>
      </c>
      <c r="O50" s="210">
        <f t="shared" si="13"/>
        <v>821</v>
      </c>
      <c r="P50" s="210">
        <f t="shared" si="13"/>
        <v>476</v>
      </c>
      <c r="Q50" s="210">
        <f t="shared" si="13"/>
        <v>1007</v>
      </c>
      <c r="R50" s="210">
        <f t="shared" si="13"/>
        <v>917</v>
      </c>
      <c r="S50" s="210">
        <f t="shared" si="13"/>
        <v>759</v>
      </c>
      <c r="T50" s="210">
        <f t="shared" si="13"/>
        <v>830</v>
      </c>
      <c r="U50" s="210">
        <f t="shared" si="13"/>
        <v>891</v>
      </c>
      <c r="V50" s="210">
        <f t="shared" si="13"/>
        <v>598</v>
      </c>
      <c r="W50" s="210">
        <f t="shared" si="13"/>
        <v>588</v>
      </c>
      <c r="X50" s="210">
        <f t="shared" si="13"/>
        <v>993</v>
      </c>
      <c r="Y50" s="210">
        <f t="shared" si="13"/>
        <v>862</v>
      </c>
      <c r="Z50" s="210">
        <f t="shared" si="13"/>
        <v>882</v>
      </c>
      <c r="AA50" s="210">
        <f t="shared" si="13"/>
        <v>878</v>
      </c>
      <c r="AB50" s="210">
        <f t="shared" si="13"/>
        <v>619</v>
      </c>
      <c r="AC50" s="210">
        <f t="shared" si="13"/>
        <v>461</v>
      </c>
      <c r="AD50" s="210">
        <f t="shared" si="13"/>
        <v>1005</v>
      </c>
      <c r="AE50" s="210">
        <f t="shared" si="13"/>
        <v>768</v>
      </c>
      <c r="AF50" s="210">
        <f t="shared" si="13"/>
        <v>946</v>
      </c>
      <c r="AG50" s="279">
        <f t="shared" si="13"/>
        <v>0</v>
      </c>
      <c r="AH50" s="278">
        <f>SUM(C50:AG50)</f>
        <v>22419</v>
      </c>
      <c r="AJ50" s="209">
        <f>AH50</f>
        <v>22419</v>
      </c>
      <c r="AK50" s="218" t="s">
        <v>106</v>
      </c>
    </row>
    <row r="51" spans="1:37" ht="16.5" thickBot="1" x14ac:dyDescent="0.3">
      <c r="A51" s="222"/>
      <c r="B51" s="223"/>
      <c r="C51" s="223"/>
      <c r="D51" s="223"/>
      <c r="E51" s="223"/>
      <c r="F51" s="223"/>
      <c r="G51" s="223"/>
      <c r="H51" s="223"/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4"/>
      <c r="AJ51" s="223"/>
      <c r="AK51" s="223"/>
    </row>
    <row r="52" spans="1:37" ht="16.5" thickBot="1" x14ac:dyDescent="0.3">
      <c r="A52" s="209"/>
      <c r="B52" s="210" t="s">
        <v>105</v>
      </c>
      <c r="C52" s="213">
        <f>IF(C50&lt;=1,0,IF(C50&gt;=0,(SUM(C4+C5)/C50)))</f>
        <v>15.654495912806539</v>
      </c>
      <c r="D52" s="213">
        <f t="shared" ref="D52:AG52" si="14">IF(D50&lt;=1,0,IF(D50&gt;=0,(SUM(D4+D5)/D50)))</f>
        <v>13.738736591179975</v>
      </c>
      <c r="E52" s="213">
        <f t="shared" si="14"/>
        <v>14.317600000000001</v>
      </c>
      <c r="F52" s="213">
        <f t="shared" si="14"/>
        <v>14.542268041237113</v>
      </c>
      <c r="G52" s="213">
        <f t="shared" si="14"/>
        <v>14.837961335676624</v>
      </c>
      <c r="H52" s="213">
        <f t="shared" si="14"/>
        <v>14.286303387334314</v>
      </c>
      <c r="I52" s="213">
        <f t="shared" si="14"/>
        <v>15.819277108433734</v>
      </c>
      <c r="J52" s="213">
        <f t="shared" si="14"/>
        <v>15.222374429223743</v>
      </c>
      <c r="K52" s="213">
        <f t="shared" si="14"/>
        <v>14.898300653594772</v>
      </c>
      <c r="L52" s="213">
        <f t="shared" si="14"/>
        <v>13.507775768535263</v>
      </c>
      <c r="M52" s="213">
        <f t="shared" si="14"/>
        <v>14.09971346704871</v>
      </c>
      <c r="N52" s="213">
        <f t="shared" si="14"/>
        <v>15.758490566037734</v>
      </c>
      <c r="O52" s="213">
        <f t="shared" si="14"/>
        <v>14.110109622411693</v>
      </c>
      <c r="P52" s="213">
        <f t="shared" si="14"/>
        <v>16.000840336134452</v>
      </c>
      <c r="Q52" s="213">
        <f t="shared" si="14"/>
        <v>16.025422045680237</v>
      </c>
      <c r="R52" s="213">
        <f t="shared" si="14"/>
        <v>15.010250817884405</v>
      </c>
      <c r="S52" s="213">
        <f t="shared" si="14"/>
        <v>16.696179183135705</v>
      </c>
      <c r="T52" s="213">
        <f t="shared" si="14"/>
        <v>15.963614457831325</v>
      </c>
      <c r="U52" s="213">
        <f t="shared" si="14"/>
        <v>14.046015712682379</v>
      </c>
      <c r="V52" s="213">
        <f t="shared" si="14"/>
        <v>14.779264214046822</v>
      </c>
      <c r="W52" s="213">
        <f t="shared" si="14"/>
        <v>16.821428571428573</v>
      </c>
      <c r="X52" s="213">
        <f t="shared" si="14"/>
        <v>16.914602215508559</v>
      </c>
      <c r="Y52" s="213">
        <f t="shared" si="14"/>
        <v>15.186078886310904</v>
      </c>
      <c r="Z52" s="213">
        <f t="shared" si="14"/>
        <v>14.580045351473924</v>
      </c>
      <c r="AA52" s="213">
        <f t="shared" si="14"/>
        <v>15.482460136674261</v>
      </c>
      <c r="AB52" s="213">
        <f t="shared" si="14"/>
        <v>14.980290791599353</v>
      </c>
      <c r="AC52" s="213">
        <f t="shared" si="14"/>
        <v>15.479392624728851</v>
      </c>
      <c r="AD52" s="213">
        <f t="shared" si="14"/>
        <v>16.095721393034825</v>
      </c>
      <c r="AE52" s="213">
        <f t="shared" si="14"/>
        <v>16.255208333333332</v>
      </c>
      <c r="AF52" s="213">
        <f t="shared" si="14"/>
        <v>14.63784355179704</v>
      </c>
      <c r="AG52" s="213">
        <f t="shared" si="14"/>
        <v>0</v>
      </c>
      <c r="AH52" s="278">
        <f>IFERROR(AVERAGEIF(C52:AG52, "&lt;&gt;0"),)</f>
        <v>15.191602183560173</v>
      </c>
      <c r="AJ52" s="219">
        <f>AH52</f>
        <v>15.191602183560173</v>
      </c>
      <c r="AK52" s="220" t="s">
        <v>107</v>
      </c>
    </row>
    <row r="53" spans="1:37" ht="16.5" thickBot="1" x14ac:dyDescent="0.3"/>
    <row r="54" spans="1:37" ht="16.5" thickBot="1" x14ac:dyDescent="0.3">
      <c r="A54" s="209"/>
      <c r="B54" s="210" t="s">
        <v>117</v>
      </c>
      <c r="C54" s="240">
        <f>IF(C47&lt;=1,0,IF(C47&gt;=0,(SUM(C4+C5)/C47)))</f>
        <v>18.267726550079491</v>
      </c>
      <c r="D54" s="240">
        <f t="shared" ref="D54:AG54" si="15">IF(D47&lt;=1,0,IF(D47&gt;=0,(SUM(D4+D5)/D47)))</f>
        <v>16.754069767441859</v>
      </c>
      <c r="E54" s="240">
        <f t="shared" si="15"/>
        <v>16.648372093023255</v>
      </c>
      <c r="F54" s="240">
        <f t="shared" si="15"/>
        <v>16.562818003913897</v>
      </c>
      <c r="G54" s="240">
        <f t="shared" si="15"/>
        <v>17.662761506276148</v>
      </c>
      <c r="H54" s="240">
        <f t="shared" si="15"/>
        <v>17.384229390681003</v>
      </c>
      <c r="I54" s="240">
        <f t="shared" si="15"/>
        <v>18.492957746478872</v>
      </c>
      <c r="J54" s="240">
        <f t="shared" si="15"/>
        <v>17.317922077922077</v>
      </c>
      <c r="K54" s="240">
        <f t="shared" si="15"/>
        <v>18.177352472089314</v>
      </c>
      <c r="L54" s="240">
        <f t="shared" si="15"/>
        <v>16.029613733905581</v>
      </c>
      <c r="M54" s="240">
        <f t="shared" si="15"/>
        <v>16.402666666666669</v>
      </c>
      <c r="N54" s="240">
        <f t="shared" si="15"/>
        <v>18.100309597523218</v>
      </c>
      <c r="O54" s="240">
        <f t="shared" si="15"/>
        <v>15.93452544704264</v>
      </c>
      <c r="P54" s="240">
        <f t="shared" si="15"/>
        <v>17.428832951945079</v>
      </c>
      <c r="Q54" s="240">
        <f t="shared" si="15"/>
        <v>18.527669345579795</v>
      </c>
      <c r="R54" s="240">
        <f t="shared" si="15"/>
        <v>17.3137106918239</v>
      </c>
      <c r="S54" s="240">
        <f t="shared" si="15"/>
        <v>18.885842026825632</v>
      </c>
      <c r="T54" s="240">
        <f t="shared" si="15"/>
        <v>17.737349397590361</v>
      </c>
      <c r="U54" s="240">
        <f t="shared" si="15"/>
        <v>16.686666666666667</v>
      </c>
      <c r="V54" s="240">
        <f t="shared" si="15"/>
        <v>17.028901734104046</v>
      </c>
      <c r="W54" s="240">
        <f t="shared" si="15"/>
        <v>18.453358208955223</v>
      </c>
      <c r="X54" s="240">
        <f t="shared" si="15"/>
        <v>18.683203559510567</v>
      </c>
      <c r="Y54" s="240">
        <f t="shared" si="15"/>
        <v>18.43718309859155</v>
      </c>
      <c r="Z54" s="240">
        <f t="shared" si="15"/>
        <v>17.261208053691277</v>
      </c>
      <c r="AA54" s="240">
        <f t="shared" si="15"/>
        <v>17.933509234828495</v>
      </c>
      <c r="AB54" s="240">
        <f t="shared" si="15"/>
        <v>17.866666666666664</v>
      </c>
      <c r="AC54" s="240">
        <f t="shared" si="15"/>
        <v>17.929648241206031</v>
      </c>
      <c r="AD54" s="240">
        <f t="shared" si="15"/>
        <v>18.053794642857145</v>
      </c>
      <c r="AE54" s="240">
        <f t="shared" si="15"/>
        <v>18.858006042296072</v>
      </c>
      <c r="AF54" s="240">
        <f t="shared" si="15"/>
        <v>16.845985401459853</v>
      </c>
      <c r="AG54" s="240">
        <f t="shared" si="15"/>
        <v>0</v>
      </c>
      <c r="AH54" s="277">
        <f>IFERROR(AVERAGEIF(C54:AG54, "&lt;&gt;0"),)</f>
        <v>17.588895367254747</v>
      </c>
      <c r="AI54" s="241"/>
      <c r="AJ54" s="242">
        <f>AH54</f>
        <v>17.588895367254747</v>
      </c>
      <c r="AK54" s="220" t="s">
        <v>118</v>
      </c>
    </row>
    <row r="55" spans="1:37" ht="16.5" thickBot="1" x14ac:dyDescent="0.3"/>
    <row r="56" spans="1:37" ht="16.5" thickBot="1" x14ac:dyDescent="0.3">
      <c r="A56" s="293"/>
      <c r="B56" s="294" t="s">
        <v>130</v>
      </c>
      <c r="C56" s="295"/>
      <c r="D56" s="295"/>
      <c r="E56" s="295"/>
      <c r="F56" s="295"/>
      <c r="G56" s="295"/>
      <c r="H56" s="295"/>
      <c r="I56" s="295"/>
      <c r="J56" s="295"/>
      <c r="K56" s="295"/>
      <c r="L56" s="295"/>
      <c r="M56" s="295"/>
      <c r="N56" s="295"/>
      <c r="O56" s="295"/>
      <c r="P56" s="295"/>
      <c r="Q56" s="295"/>
      <c r="R56" s="295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  <c r="AG56" s="295"/>
      <c r="AH56" s="296" t="s">
        <v>131</v>
      </c>
      <c r="AJ56" s="297" t="s">
        <v>131</v>
      </c>
      <c r="AK56" s="298" t="s">
        <v>128</v>
      </c>
    </row>
    <row r="57" spans="1:37" x14ac:dyDescent="0.25">
      <c r="A57" s="90"/>
      <c r="B57" s="299" t="s">
        <v>132</v>
      </c>
      <c r="C57" s="91">
        <v>102</v>
      </c>
      <c r="D57" s="91">
        <v>102</v>
      </c>
      <c r="E57" s="91">
        <v>102</v>
      </c>
      <c r="F57" s="91">
        <v>99</v>
      </c>
      <c r="G57" s="91">
        <v>99</v>
      </c>
      <c r="H57" s="91">
        <v>99</v>
      </c>
      <c r="I57" s="91">
        <v>100</v>
      </c>
      <c r="J57" s="91">
        <v>102</v>
      </c>
      <c r="K57" s="91">
        <v>102</v>
      </c>
      <c r="L57" s="91">
        <v>102</v>
      </c>
      <c r="M57" s="91">
        <v>100</v>
      </c>
      <c r="N57" s="91">
        <v>100</v>
      </c>
      <c r="O57" s="91">
        <v>100</v>
      </c>
      <c r="P57" s="91">
        <v>98</v>
      </c>
      <c r="Q57" s="91">
        <v>100</v>
      </c>
      <c r="R57" s="91">
        <v>102</v>
      </c>
      <c r="S57" s="91">
        <v>98</v>
      </c>
      <c r="T57" s="91">
        <v>100</v>
      </c>
      <c r="U57" s="91">
        <v>102</v>
      </c>
      <c r="V57" s="91">
        <v>98</v>
      </c>
      <c r="W57" s="91">
        <v>99</v>
      </c>
      <c r="X57" s="91">
        <v>100</v>
      </c>
      <c r="Y57" s="91">
        <v>100</v>
      </c>
      <c r="Z57" s="91">
        <v>101</v>
      </c>
      <c r="AA57" s="91">
        <v>101</v>
      </c>
      <c r="AB57" s="91">
        <v>100</v>
      </c>
      <c r="AC57" s="91">
        <v>100</v>
      </c>
      <c r="AD57" s="91">
        <v>101</v>
      </c>
      <c r="AE57" s="91"/>
      <c r="AF57" s="91"/>
      <c r="AG57" s="91"/>
      <c r="AH57" s="300">
        <f>IFERROR(AVERAGEIF(C57:AG57,"&lt;&gt;0"),)</f>
        <v>100.32142857142857</v>
      </c>
      <c r="AJ57" s="301">
        <f>AH57</f>
        <v>100.32142857142857</v>
      </c>
      <c r="AK57" s="302" t="s">
        <v>133</v>
      </c>
    </row>
    <row r="58" spans="1:37" x14ac:dyDescent="0.25">
      <c r="A58" s="90"/>
      <c r="B58" s="299" t="s">
        <v>155</v>
      </c>
      <c r="C58" s="91">
        <v>85</v>
      </c>
      <c r="D58" s="91">
        <v>85</v>
      </c>
      <c r="E58" s="91">
        <v>86</v>
      </c>
      <c r="F58" s="91">
        <v>85</v>
      </c>
      <c r="G58" s="91">
        <v>85</v>
      </c>
      <c r="H58" s="91">
        <v>83</v>
      </c>
      <c r="I58" s="91">
        <v>85</v>
      </c>
      <c r="J58" s="91">
        <v>85</v>
      </c>
      <c r="K58" s="91">
        <v>85</v>
      </c>
      <c r="L58" s="91">
        <v>86</v>
      </c>
      <c r="M58" s="91">
        <v>85</v>
      </c>
      <c r="N58" s="91">
        <v>84</v>
      </c>
      <c r="O58" s="91">
        <v>82</v>
      </c>
      <c r="P58" s="91">
        <v>82</v>
      </c>
      <c r="Q58" s="91">
        <v>85</v>
      </c>
      <c r="R58" s="91">
        <v>85</v>
      </c>
      <c r="S58" s="91">
        <v>80</v>
      </c>
      <c r="T58" s="91">
        <v>81</v>
      </c>
      <c r="U58" s="91">
        <v>85</v>
      </c>
      <c r="V58" s="91">
        <v>80</v>
      </c>
      <c r="W58" s="91">
        <v>80</v>
      </c>
      <c r="X58" s="91">
        <v>80</v>
      </c>
      <c r="Y58" s="91">
        <v>80</v>
      </c>
      <c r="Z58" s="91">
        <v>82</v>
      </c>
      <c r="AA58" s="91">
        <v>85</v>
      </c>
      <c r="AB58" s="91">
        <v>80</v>
      </c>
      <c r="AC58" s="91">
        <v>84</v>
      </c>
      <c r="AD58" s="91">
        <v>82</v>
      </c>
      <c r="AE58" s="91"/>
      <c r="AF58" s="91"/>
      <c r="AG58" s="91"/>
      <c r="AH58" s="300">
        <f t="shared" ref="AH58:AH60" si="16">IFERROR(AVERAGEIF(C58:AG58,"&lt;&gt;0"),)</f>
        <v>83.285714285714292</v>
      </c>
      <c r="AJ58" s="303">
        <f>AH58</f>
        <v>83.285714285714292</v>
      </c>
      <c r="AK58" s="304" t="s">
        <v>134</v>
      </c>
    </row>
    <row r="59" spans="1:37" x14ac:dyDescent="0.25">
      <c r="A59" s="90"/>
      <c r="B59" s="299" t="s">
        <v>135</v>
      </c>
      <c r="C59" s="299">
        <v>78</v>
      </c>
      <c r="D59" s="299">
        <v>80</v>
      </c>
      <c r="E59" s="299">
        <v>80</v>
      </c>
      <c r="F59" s="299">
        <v>79</v>
      </c>
      <c r="G59" s="299">
        <v>79</v>
      </c>
      <c r="H59" s="299">
        <v>79</v>
      </c>
      <c r="I59" s="299">
        <v>80</v>
      </c>
      <c r="J59" s="299">
        <v>78</v>
      </c>
      <c r="K59" s="299">
        <v>78</v>
      </c>
      <c r="L59" s="299">
        <v>80</v>
      </c>
      <c r="M59" s="299">
        <v>79</v>
      </c>
      <c r="N59" s="299">
        <v>78</v>
      </c>
      <c r="O59" s="299">
        <v>78</v>
      </c>
      <c r="P59" s="299">
        <v>78</v>
      </c>
      <c r="Q59" s="299">
        <v>80</v>
      </c>
      <c r="R59" s="299">
        <v>75</v>
      </c>
      <c r="S59" s="299">
        <v>75</v>
      </c>
      <c r="T59" s="299">
        <v>76</v>
      </c>
      <c r="U59" s="299">
        <v>75</v>
      </c>
      <c r="V59" s="299">
        <v>76</v>
      </c>
      <c r="W59" s="299">
        <v>75</v>
      </c>
      <c r="X59" s="299">
        <v>74</v>
      </c>
      <c r="Y59" s="299">
        <v>77</v>
      </c>
      <c r="Z59" s="299">
        <v>78</v>
      </c>
      <c r="AA59" s="299">
        <v>79</v>
      </c>
      <c r="AB59" s="299">
        <v>77</v>
      </c>
      <c r="AC59" s="299">
        <v>80</v>
      </c>
      <c r="AD59" s="299">
        <v>78</v>
      </c>
      <c r="AE59" s="299"/>
      <c r="AF59" s="299"/>
      <c r="AG59" s="299"/>
      <c r="AH59" s="300">
        <f t="shared" si="16"/>
        <v>77.821428571428569</v>
      </c>
      <c r="AJ59" s="303">
        <f>AH59</f>
        <v>77.821428571428569</v>
      </c>
      <c r="AK59" s="304" t="s">
        <v>136</v>
      </c>
    </row>
    <row r="60" spans="1:37" ht="16.5" thickBot="1" x14ac:dyDescent="0.3">
      <c r="A60" s="81"/>
      <c r="B60" s="305" t="s">
        <v>137</v>
      </c>
      <c r="C60" s="306"/>
      <c r="D60" s="306"/>
      <c r="E60" s="306"/>
      <c r="F60" s="306"/>
      <c r="G60" s="306"/>
      <c r="H60" s="306"/>
      <c r="I60" s="306"/>
      <c r="J60" s="306"/>
      <c r="K60" s="306"/>
      <c r="L60" s="306"/>
      <c r="M60" s="306"/>
      <c r="N60" s="306"/>
      <c r="O60" s="306"/>
      <c r="P60" s="306"/>
      <c r="Q60" s="306"/>
      <c r="R60" s="306"/>
      <c r="S60" s="306"/>
      <c r="T60" s="306"/>
      <c r="U60" s="306"/>
      <c r="V60" s="306"/>
      <c r="W60" s="306"/>
      <c r="X60" s="306"/>
      <c r="Y60" s="306"/>
      <c r="Z60" s="306"/>
      <c r="AA60" s="306"/>
      <c r="AB60" s="306"/>
      <c r="AC60" s="306"/>
      <c r="AD60" s="306"/>
      <c r="AE60" s="306"/>
      <c r="AF60" s="306"/>
      <c r="AG60" s="306"/>
      <c r="AH60" s="307">
        <f t="shared" si="16"/>
        <v>0</v>
      </c>
      <c r="AJ60" s="308">
        <f>AH60</f>
        <v>0</v>
      </c>
      <c r="AK60" s="82" t="s">
        <v>138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9:AK39"/>
    <mergeCell ref="AL39:AM39"/>
    <mergeCell ref="AJ31:AM31"/>
  </mergeCells>
  <conditionalFormatting sqref="C43:AG43">
    <cfRule type="cellIs" dxfId="13" priority="12" operator="notEqual">
      <formula>0</formula>
    </cfRule>
  </conditionalFormatting>
  <conditionalFormatting sqref="C43:AG43">
    <cfRule type="cellIs" dxfId="12" priority="11" operator="notEqual">
      <formula>0</formula>
    </cfRule>
  </conditionalFormatting>
  <conditionalFormatting sqref="C31:AH31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1:AG41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9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C2" sqref="C2"/>
    </sheetView>
  </sheetViews>
  <sheetFormatPr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5"/>
      <c r="B1" s="506"/>
      <c r="C1" s="314" t="s">
        <v>141</v>
      </c>
      <c r="D1" s="315" t="s">
        <v>63</v>
      </c>
      <c r="E1" s="315" t="s">
        <v>35</v>
      </c>
      <c r="F1" s="315" t="s">
        <v>142</v>
      </c>
      <c r="G1" s="315" t="s">
        <v>111</v>
      </c>
      <c r="H1" s="315" t="s">
        <v>78</v>
      </c>
      <c r="I1" s="315" t="s">
        <v>41</v>
      </c>
      <c r="J1" s="316"/>
      <c r="K1" s="317" t="s">
        <v>132</v>
      </c>
      <c r="L1" s="317" t="s">
        <v>143</v>
      </c>
      <c r="M1" s="317" t="s">
        <v>135</v>
      </c>
      <c r="N1" s="316"/>
      <c r="O1" s="317" t="s">
        <v>144</v>
      </c>
    </row>
    <row r="2" spans="1:15" x14ac:dyDescent="0.25">
      <c r="A2" s="318">
        <f>'Cash Flow'!A8</f>
        <v>45444</v>
      </c>
      <c r="B2" s="353" t="str">
        <f>TEXT(A2,"ddd")</f>
        <v>Sat</v>
      </c>
      <c r="C2" s="319">
        <f>TRANSPOSE(Pool!C4:AG4)</f>
        <v>11490.4</v>
      </c>
      <c r="D2" s="319">
        <f t="array" ref="D2:D32">TRANSPOSE(Pool!C9:AG9)</f>
        <v>528</v>
      </c>
      <c r="E2" s="319">
        <f t="array" ref="E2:E32">TRANSPOSE(Pool!C14:AG14)</f>
        <v>48</v>
      </c>
      <c r="F2" s="319">
        <f t="array" ref="F2:F32">TRANSPOSE(Pool!C15:AG15)</f>
        <v>881.18</v>
      </c>
      <c r="G2" s="319">
        <f t="array" ref="G2:G32">TRANSPOSE(Pool!C16:AG16)</f>
        <v>0</v>
      </c>
      <c r="H2" s="319">
        <f>TRANSPOSE(Pool!C18:AG18)</f>
        <v>0</v>
      </c>
      <c r="I2" s="322">
        <f t="array" ref="I2:I32">TRANSPOSE(Pool!C20:AG20)</f>
        <v>0</v>
      </c>
      <c r="J2" s="325"/>
      <c r="K2" s="326">
        <f t="array" ref="K2:K32">TRANSPOSE(Pool!C57:AG57)</f>
        <v>102</v>
      </c>
      <c r="L2" s="329">
        <f t="array" ref="L2:L32">TRANSPOSE(Pool!C58:AG58)</f>
        <v>85</v>
      </c>
      <c r="M2" s="332">
        <f t="array" ref="M2:M32">TRANSPOSE(Pool!C59:AG59)</f>
        <v>78</v>
      </c>
      <c r="N2" s="325"/>
      <c r="O2" s="336">
        <f t="array" ref="O2:O32">TRANSPOSE(Pool!C50:AG50)</f>
        <v>734</v>
      </c>
    </row>
    <row r="3" spans="1:15" x14ac:dyDescent="0.25">
      <c r="A3" s="339">
        <f t="shared" ref="A3:A32" si="0">SUM(A2+1)</f>
        <v>45445</v>
      </c>
      <c r="B3" s="354" t="str">
        <f>TEXT(A3,"ddd")</f>
        <v>Sun</v>
      </c>
      <c r="C3" s="320">
        <f>TRANSPOSE(Pool!C9:AG9)</f>
        <v>528</v>
      </c>
      <c r="D3" s="320">
        <v>780</v>
      </c>
      <c r="E3" s="320">
        <v>269</v>
      </c>
      <c r="F3" s="320">
        <v>1248.0899999999999</v>
      </c>
      <c r="G3" s="320">
        <v>0</v>
      </c>
      <c r="H3" s="320">
        <f>TRANSPOSE(Pool!C19:AG19)</f>
        <v>0</v>
      </c>
      <c r="I3" s="323">
        <v>0</v>
      </c>
      <c r="J3" s="325"/>
      <c r="K3" s="327">
        <v>102</v>
      </c>
      <c r="L3" s="330">
        <v>85</v>
      </c>
      <c r="M3" s="333">
        <v>80</v>
      </c>
      <c r="N3" s="325"/>
      <c r="O3" s="337">
        <v>839</v>
      </c>
    </row>
    <row r="4" spans="1:15" x14ac:dyDescent="0.25">
      <c r="A4" s="339">
        <f t="shared" si="0"/>
        <v>45446</v>
      </c>
      <c r="B4" s="354" t="str">
        <f>TEXT(A4,"DDD")</f>
        <v>Mon</v>
      </c>
      <c r="C4" s="320">
        <f>TRANSPOSE(Pool!C5:AG5)</f>
        <v>0</v>
      </c>
      <c r="D4" s="320">
        <v>401</v>
      </c>
      <c r="E4" s="320">
        <v>12</v>
      </c>
      <c r="F4" s="320">
        <v>393.77</v>
      </c>
      <c r="G4" s="320">
        <v>0</v>
      </c>
      <c r="H4" s="320">
        <f>TRANSPOSE(Pool!C21:AG21)</f>
        <v>0</v>
      </c>
      <c r="I4" s="323">
        <v>0</v>
      </c>
      <c r="J4" s="325"/>
      <c r="K4" s="327">
        <v>102</v>
      </c>
      <c r="L4" s="330">
        <v>86</v>
      </c>
      <c r="M4" s="333">
        <v>80</v>
      </c>
      <c r="N4" s="325"/>
      <c r="O4" s="337">
        <v>500</v>
      </c>
    </row>
    <row r="5" spans="1:15" x14ac:dyDescent="0.25">
      <c r="A5" s="339">
        <f t="shared" si="0"/>
        <v>45447</v>
      </c>
      <c r="B5" s="354" t="str">
        <f>TEXT(A5,"ddd")</f>
        <v>Tue</v>
      </c>
      <c r="C5" s="320">
        <f>TRANSPOSE(Pool!C6:AG6)</f>
        <v>1255</v>
      </c>
      <c r="D5" s="320">
        <v>559</v>
      </c>
      <c r="E5" s="320">
        <v>32</v>
      </c>
      <c r="F5" s="320">
        <v>757.61</v>
      </c>
      <c r="G5" s="320">
        <v>0</v>
      </c>
      <c r="H5" s="320">
        <f>TRANSPOSE(Pool!C20:AG20)</f>
        <v>0</v>
      </c>
      <c r="I5" s="323">
        <v>90</v>
      </c>
      <c r="J5" s="325"/>
      <c r="K5" s="327">
        <v>99</v>
      </c>
      <c r="L5" s="330">
        <v>85</v>
      </c>
      <c r="M5" s="333">
        <v>79</v>
      </c>
      <c r="N5" s="325"/>
      <c r="O5" s="337">
        <v>582</v>
      </c>
    </row>
    <row r="6" spans="1:15" x14ac:dyDescent="0.25">
      <c r="A6" s="339">
        <f t="shared" si="0"/>
        <v>45448</v>
      </c>
      <c r="B6" s="354" t="str">
        <f>TEXT(A6,"DDD")</f>
        <v>Wed</v>
      </c>
      <c r="C6" s="320">
        <f>TRANSPOSE(Pool!C7:AG7)</f>
        <v>1260</v>
      </c>
      <c r="D6" s="320">
        <v>290</v>
      </c>
      <c r="E6" s="320">
        <v>64</v>
      </c>
      <c r="F6" s="320">
        <v>514.44000000000005</v>
      </c>
      <c r="G6" s="320">
        <v>0</v>
      </c>
      <c r="H6" s="320">
        <f>TRANSPOSE(Pool!C22:AG22)</f>
        <v>0</v>
      </c>
      <c r="I6" s="323">
        <v>0</v>
      </c>
      <c r="J6" s="325"/>
      <c r="K6" s="327">
        <v>99</v>
      </c>
      <c r="L6" s="330">
        <v>85</v>
      </c>
      <c r="M6" s="333">
        <v>79</v>
      </c>
      <c r="N6" s="325"/>
      <c r="O6" s="337">
        <v>569</v>
      </c>
    </row>
    <row r="7" spans="1:15" x14ac:dyDescent="0.25">
      <c r="A7" s="339">
        <f t="shared" si="0"/>
        <v>45449</v>
      </c>
      <c r="B7" s="354" t="str">
        <f>TEXT(A7,"ddd")</f>
        <v>Thu</v>
      </c>
      <c r="C7" s="320">
        <f>TRANSPOSE(Pool!C8:AG8)</f>
        <v>0</v>
      </c>
      <c r="D7" s="320">
        <v>551</v>
      </c>
      <c r="E7" s="320">
        <v>40</v>
      </c>
      <c r="F7" s="320">
        <v>950.39</v>
      </c>
      <c r="G7" s="320">
        <v>0</v>
      </c>
      <c r="H7" s="320">
        <f>TRANSPOSE(Pool!C23:AG23)</f>
        <v>0</v>
      </c>
      <c r="I7" s="323">
        <v>0</v>
      </c>
      <c r="J7" s="325"/>
      <c r="K7" s="327">
        <v>99</v>
      </c>
      <c r="L7" s="330">
        <v>83</v>
      </c>
      <c r="M7" s="333">
        <v>79</v>
      </c>
      <c r="N7" s="325"/>
      <c r="O7" s="337">
        <v>679</v>
      </c>
    </row>
    <row r="8" spans="1:15" x14ac:dyDescent="0.25">
      <c r="A8" s="339">
        <f t="shared" si="0"/>
        <v>45450</v>
      </c>
      <c r="B8" s="354" t="str">
        <f>TEXT(A8,"DDD")</f>
        <v>Fri</v>
      </c>
      <c r="C8" s="320">
        <f>TRANSPOSE(Pool!C10:AG10)</f>
        <v>0</v>
      </c>
      <c r="D8" s="320">
        <v>420</v>
      </c>
      <c r="E8" s="320">
        <v>24</v>
      </c>
      <c r="F8" s="320">
        <v>835.33</v>
      </c>
      <c r="G8" s="320">
        <v>0</v>
      </c>
      <c r="H8" s="320">
        <f>TRANSPOSE(Pool!C24:AG24)</f>
        <v>0</v>
      </c>
      <c r="I8" s="323">
        <v>0</v>
      </c>
      <c r="J8" s="325"/>
      <c r="K8" s="327">
        <v>100</v>
      </c>
      <c r="L8" s="330">
        <v>85</v>
      </c>
      <c r="M8" s="333">
        <v>80</v>
      </c>
      <c r="N8" s="325"/>
      <c r="O8" s="337">
        <v>581</v>
      </c>
    </row>
    <row r="9" spans="1:15" x14ac:dyDescent="0.25">
      <c r="A9" s="339">
        <f t="shared" si="0"/>
        <v>45451</v>
      </c>
      <c r="B9" s="354" t="str">
        <f>TEXT(A9,"ddd")</f>
        <v>Sat</v>
      </c>
      <c r="C9" s="320">
        <f>TRANSPOSE(Pool!C11:AG11)</f>
        <v>0</v>
      </c>
      <c r="D9" s="320">
        <v>640</v>
      </c>
      <c r="E9" s="320">
        <v>28</v>
      </c>
      <c r="F9" s="320">
        <v>1253.73</v>
      </c>
      <c r="G9" s="320">
        <v>0</v>
      </c>
      <c r="H9" s="320">
        <f>TRANSPOSE(Pool!C25:AG25)</f>
        <v>0</v>
      </c>
      <c r="I9" s="323">
        <v>0</v>
      </c>
      <c r="J9" s="325"/>
      <c r="K9" s="327">
        <v>102</v>
      </c>
      <c r="L9" s="330">
        <v>85</v>
      </c>
      <c r="M9" s="334">
        <v>78</v>
      </c>
      <c r="N9" s="325"/>
      <c r="O9" s="337">
        <v>876</v>
      </c>
    </row>
    <row r="10" spans="1:15" x14ac:dyDescent="0.25">
      <c r="A10" s="339">
        <f t="shared" si="0"/>
        <v>45452</v>
      </c>
      <c r="B10" s="354" t="str">
        <f>TEXT(A10,"DDD")</f>
        <v>Sun</v>
      </c>
      <c r="C10" s="320">
        <f>TRANSPOSE(Pool!C12:AG12)</f>
        <v>0</v>
      </c>
      <c r="D10" s="320">
        <v>524</v>
      </c>
      <c r="E10" s="320">
        <v>290</v>
      </c>
      <c r="F10" s="320">
        <v>984.1</v>
      </c>
      <c r="G10" s="320">
        <v>0</v>
      </c>
      <c r="H10" s="320">
        <f>TRANSPOSE(Pool!C26:AG26)</f>
        <v>0</v>
      </c>
      <c r="I10" s="323">
        <v>0</v>
      </c>
      <c r="J10" s="325"/>
      <c r="K10" s="327">
        <v>102</v>
      </c>
      <c r="L10" s="330">
        <v>85</v>
      </c>
      <c r="M10" s="333">
        <v>78</v>
      </c>
      <c r="N10" s="325"/>
      <c r="O10" s="337">
        <v>765</v>
      </c>
    </row>
    <row r="11" spans="1:15" x14ac:dyDescent="0.25">
      <c r="A11" s="339">
        <f t="shared" si="0"/>
        <v>45453</v>
      </c>
      <c r="B11" s="354" t="str">
        <f>TEXT(A11,"ddd")</f>
        <v>Mon</v>
      </c>
      <c r="C11" s="320">
        <f>TRANSPOSE(Pool!C13:AG13)</f>
        <v>0</v>
      </c>
      <c r="D11" s="320">
        <v>385</v>
      </c>
      <c r="E11" s="320">
        <v>24</v>
      </c>
      <c r="F11" s="320">
        <v>620.27</v>
      </c>
      <c r="G11" s="320">
        <v>0</v>
      </c>
      <c r="H11" s="320">
        <f>TRANSPOSE(Pool!C27:AG27)</f>
        <v>0</v>
      </c>
      <c r="I11" s="323">
        <v>90</v>
      </c>
      <c r="J11" s="325"/>
      <c r="K11" s="327">
        <v>102</v>
      </c>
      <c r="L11" s="330">
        <v>86</v>
      </c>
      <c r="M11" s="333">
        <v>80</v>
      </c>
      <c r="N11" s="325"/>
      <c r="O11" s="337">
        <v>553</v>
      </c>
    </row>
    <row r="12" spans="1:15" x14ac:dyDescent="0.25">
      <c r="A12" s="339">
        <f t="shared" si="0"/>
        <v>45454</v>
      </c>
      <c r="B12" s="354" t="str">
        <f>TEXT(A12,"DDD")</f>
        <v>Tue</v>
      </c>
      <c r="C12" s="320">
        <f>TRANSPOSE(Pool!C14:AG14)</f>
        <v>48</v>
      </c>
      <c r="D12" s="320">
        <v>641</v>
      </c>
      <c r="E12" s="320">
        <v>118</v>
      </c>
      <c r="F12" s="320">
        <v>850.92</v>
      </c>
      <c r="G12" s="320">
        <v>0</v>
      </c>
      <c r="H12" s="320">
        <f>TRANSPOSE(Pool!C28:AG28)</f>
        <v>0</v>
      </c>
      <c r="I12" s="323">
        <v>0</v>
      </c>
      <c r="J12" s="325"/>
      <c r="K12" s="327">
        <v>100</v>
      </c>
      <c r="L12" s="330">
        <v>85</v>
      </c>
      <c r="M12" s="333">
        <v>79</v>
      </c>
      <c r="N12" s="325"/>
      <c r="O12" s="337">
        <v>698</v>
      </c>
    </row>
    <row r="13" spans="1:15" x14ac:dyDescent="0.25">
      <c r="A13" s="339">
        <f t="shared" si="0"/>
        <v>45455</v>
      </c>
      <c r="B13" s="354" t="str">
        <f>TEXT(A13,"ddd")</f>
        <v>Wed</v>
      </c>
      <c r="C13" s="320">
        <f>TRANSPOSE(Pool!C15:AG15)</f>
        <v>881.18</v>
      </c>
      <c r="D13" s="320">
        <v>585</v>
      </c>
      <c r="E13" s="320">
        <v>32</v>
      </c>
      <c r="F13" s="320">
        <v>949.74</v>
      </c>
      <c r="G13" s="320">
        <v>0</v>
      </c>
      <c r="H13" s="320">
        <f>TRANSPOSE(Pool!C29:AG29)</f>
        <v>13242.24</v>
      </c>
      <c r="I13" s="323">
        <v>45</v>
      </c>
      <c r="J13" s="325"/>
      <c r="K13" s="327">
        <v>100</v>
      </c>
      <c r="L13" s="330">
        <v>84</v>
      </c>
      <c r="M13" s="333">
        <v>78</v>
      </c>
      <c r="N13" s="325"/>
      <c r="O13" s="337">
        <v>742</v>
      </c>
    </row>
    <row r="14" spans="1:15" x14ac:dyDescent="0.25">
      <c r="A14" s="339">
        <f t="shared" si="0"/>
        <v>45456</v>
      </c>
      <c r="B14" s="354" t="str">
        <f>TEXT(A14,"DDD")</f>
        <v>Thu</v>
      </c>
      <c r="C14" s="320">
        <f>TRANSPOSE(Pool!C16:AG16)</f>
        <v>0</v>
      </c>
      <c r="D14" s="320">
        <v>772</v>
      </c>
      <c r="E14" s="320">
        <v>76</v>
      </c>
      <c r="F14" s="320">
        <v>1193.0899999999999</v>
      </c>
      <c r="G14" s="320">
        <v>0</v>
      </c>
      <c r="H14" s="320">
        <f>TRANSPOSE(Pool!C30:AG30)</f>
        <v>13242.24</v>
      </c>
      <c r="I14" s="323">
        <v>45</v>
      </c>
      <c r="J14" s="325"/>
      <c r="K14" s="327">
        <v>100</v>
      </c>
      <c r="L14" s="330">
        <v>82</v>
      </c>
      <c r="M14" s="333">
        <v>78</v>
      </c>
      <c r="N14" s="325"/>
      <c r="O14" s="337">
        <v>821</v>
      </c>
    </row>
    <row r="15" spans="1:15" x14ac:dyDescent="0.25">
      <c r="A15" s="339">
        <f t="shared" si="0"/>
        <v>45457</v>
      </c>
      <c r="B15" s="354" t="str">
        <f>TEXT(A15,"ddd")</f>
        <v>Fri</v>
      </c>
      <c r="C15" s="320">
        <f>TRANSPOSE(Pool!C18:AG18)</f>
        <v>40</v>
      </c>
      <c r="D15" s="320">
        <v>360</v>
      </c>
      <c r="E15" s="320">
        <v>24</v>
      </c>
      <c r="F15" s="320">
        <v>485.54</v>
      </c>
      <c r="G15" s="320">
        <v>0</v>
      </c>
      <c r="H15" s="320">
        <f>TRANSPOSE(Pool!C31:AG31)</f>
        <v>0</v>
      </c>
      <c r="I15" s="323">
        <v>0</v>
      </c>
      <c r="J15" s="325"/>
      <c r="K15" s="327">
        <v>98</v>
      </c>
      <c r="L15" s="330">
        <v>82</v>
      </c>
      <c r="M15" s="333">
        <v>78</v>
      </c>
      <c r="N15" s="325"/>
      <c r="O15" s="337">
        <v>476</v>
      </c>
    </row>
    <row r="16" spans="1:15" x14ac:dyDescent="0.25">
      <c r="A16" s="339">
        <f t="shared" si="0"/>
        <v>45458</v>
      </c>
      <c r="B16" s="354" t="str">
        <f>TEXT(A16,"DDD")</f>
        <v>Sat</v>
      </c>
      <c r="C16" s="320">
        <f>TRANSPOSE(Pool!C19:AG19)</f>
        <v>0</v>
      </c>
      <c r="D16" s="320">
        <v>580</v>
      </c>
      <c r="E16" s="320">
        <v>314</v>
      </c>
      <c r="F16" s="320">
        <v>1346.53</v>
      </c>
      <c r="G16" s="320">
        <v>0</v>
      </c>
      <c r="H16" s="320">
        <f>TRANSPOSE(Pool!C32:AG32)</f>
        <v>0</v>
      </c>
      <c r="I16" s="323">
        <v>0</v>
      </c>
      <c r="J16" s="325"/>
      <c r="K16" s="327">
        <v>100</v>
      </c>
      <c r="L16" s="330">
        <v>85</v>
      </c>
      <c r="M16" s="333">
        <v>80</v>
      </c>
      <c r="N16" s="325"/>
      <c r="O16" s="337">
        <v>1007</v>
      </c>
    </row>
    <row r="17" spans="1:15" x14ac:dyDescent="0.25">
      <c r="A17" s="339">
        <f t="shared" si="0"/>
        <v>45459</v>
      </c>
      <c r="B17" s="354" t="str">
        <f>TEXT(A17,"ddd")</f>
        <v>Sun</v>
      </c>
      <c r="C17" s="320">
        <f>TRANSPOSE(Pool!C21:AG21)</f>
        <v>0</v>
      </c>
      <c r="D17" s="320">
        <v>774</v>
      </c>
      <c r="E17" s="320">
        <v>44</v>
      </c>
      <c r="F17" s="320">
        <v>764.34</v>
      </c>
      <c r="G17" s="320">
        <v>0</v>
      </c>
      <c r="H17" s="320">
        <f>TRANSPOSE(Pool!C33:AG33)</f>
        <v>1501.5</v>
      </c>
      <c r="I17" s="323">
        <v>0</v>
      </c>
      <c r="J17" s="325"/>
      <c r="K17" s="327">
        <v>102</v>
      </c>
      <c r="L17" s="330">
        <v>85</v>
      </c>
      <c r="M17" s="333">
        <v>75</v>
      </c>
      <c r="N17" s="325"/>
      <c r="O17" s="337">
        <v>917</v>
      </c>
    </row>
    <row r="18" spans="1:15" x14ac:dyDescent="0.25">
      <c r="A18" s="339">
        <f t="shared" si="0"/>
        <v>45460</v>
      </c>
      <c r="B18" s="354" t="str">
        <f>TEXT(A18,"DDD")</f>
        <v>Mon</v>
      </c>
      <c r="C18" s="320">
        <f>TRANSPOSE(Pool!C20:AG20)</f>
        <v>0</v>
      </c>
      <c r="D18" s="320">
        <v>735</v>
      </c>
      <c r="E18" s="320">
        <v>72</v>
      </c>
      <c r="F18" s="320">
        <v>811.02</v>
      </c>
      <c r="G18" s="320">
        <v>0</v>
      </c>
      <c r="H18" s="320">
        <f>TRANSPOSE(Pool!C34:AG34)</f>
        <v>11740.74</v>
      </c>
      <c r="I18" s="323">
        <v>0</v>
      </c>
      <c r="J18" s="325"/>
      <c r="K18" s="327">
        <v>98</v>
      </c>
      <c r="L18" s="330">
        <v>80</v>
      </c>
      <c r="M18" s="333">
        <v>75</v>
      </c>
      <c r="N18" s="325"/>
      <c r="O18" s="337">
        <v>759</v>
      </c>
    </row>
    <row r="19" spans="1:15" x14ac:dyDescent="0.25">
      <c r="A19" s="339">
        <f t="shared" si="0"/>
        <v>45461</v>
      </c>
      <c r="B19" s="354" t="str">
        <f>TEXT(A19,"ddd")</f>
        <v>Tue</v>
      </c>
      <c r="C19" s="320">
        <f>TRANSPOSE(Pool!C22:AG22)</f>
        <v>0</v>
      </c>
      <c r="D19" s="320">
        <v>540</v>
      </c>
      <c r="E19" s="320">
        <v>32</v>
      </c>
      <c r="F19" s="320">
        <v>978.29</v>
      </c>
      <c r="G19" s="320">
        <v>0</v>
      </c>
      <c r="H19" s="320">
        <f>TRANSPOSE(Pool!C35:AG35)</f>
        <v>0</v>
      </c>
      <c r="I19" s="323">
        <v>270</v>
      </c>
      <c r="J19" s="325"/>
      <c r="K19" s="327">
        <v>100</v>
      </c>
      <c r="L19" s="330">
        <v>81</v>
      </c>
      <c r="M19" s="333">
        <v>76</v>
      </c>
      <c r="N19" s="325"/>
      <c r="O19" s="337">
        <v>830</v>
      </c>
    </row>
    <row r="20" spans="1:15" x14ac:dyDescent="0.25">
      <c r="A20" s="339">
        <f t="shared" si="0"/>
        <v>45462</v>
      </c>
      <c r="B20" s="354" t="str">
        <f>TEXT(A20,"DDD")</f>
        <v>Wed</v>
      </c>
      <c r="C20" s="320">
        <f>TRANSPOSE(Pool!C23:AG23)</f>
        <v>0</v>
      </c>
      <c r="D20" s="320">
        <v>663</v>
      </c>
      <c r="E20" s="320">
        <v>171</v>
      </c>
      <c r="F20" s="320">
        <v>1021.3</v>
      </c>
      <c r="G20" s="320">
        <v>0</v>
      </c>
      <c r="H20" s="320">
        <f>TRANSPOSE(Pool!C36:AG36)</f>
        <v>0</v>
      </c>
      <c r="I20" s="323">
        <v>180</v>
      </c>
      <c r="J20" s="325"/>
      <c r="K20" s="327">
        <v>102</v>
      </c>
      <c r="L20" s="330">
        <v>85</v>
      </c>
      <c r="M20" s="333">
        <v>75</v>
      </c>
      <c r="N20" s="325"/>
      <c r="O20" s="337">
        <v>891</v>
      </c>
    </row>
    <row r="21" spans="1:15" x14ac:dyDescent="0.25">
      <c r="A21" s="339">
        <f t="shared" si="0"/>
        <v>45463</v>
      </c>
      <c r="B21" s="354" t="str">
        <f>TEXT(A21,"ddd")</f>
        <v>Thu</v>
      </c>
      <c r="C21" s="320">
        <f>TRANSPOSE(Pool!C24:AG24)</f>
        <v>0</v>
      </c>
      <c r="D21" s="320">
        <v>371</v>
      </c>
      <c r="E21" s="320">
        <v>64</v>
      </c>
      <c r="F21" s="320">
        <v>559.83000000000004</v>
      </c>
      <c r="G21" s="320">
        <v>0</v>
      </c>
      <c r="H21" s="320">
        <f>TRANSPOSE(Pool!C37:AG37)</f>
        <v>0</v>
      </c>
      <c r="I21" s="323">
        <v>360</v>
      </c>
      <c r="J21" s="325"/>
      <c r="K21" s="327">
        <v>98</v>
      </c>
      <c r="L21" s="330">
        <v>80</v>
      </c>
      <c r="M21" s="333">
        <v>76</v>
      </c>
      <c r="N21" s="325"/>
      <c r="O21" s="337">
        <v>598</v>
      </c>
    </row>
    <row r="22" spans="1:15" x14ac:dyDescent="0.25">
      <c r="A22" s="339">
        <f t="shared" si="0"/>
        <v>45464</v>
      </c>
      <c r="B22" s="354" t="str">
        <f>TEXT(A22,"DDD")</f>
        <v>Fri</v>
      </c>
      <c r="C22" s="320">
        <f>TRANSPOSE(Pool!C25:AG25)</f>
        <v>0</v>
      </c>
      <c r="D22" s="320">
        <v>371</v>
      </c>
      <c r="E22" s="320">
        <v>36</v>
      </c>
      <c r="F22" s="320">
        <v>876.4</v>
      </c>
      <c r="G22" s="320">
        <v>0</v>
      </c>
      <c r="H22" s="320">
        <f>TRANSPOSE(Pool!C38:AG38)</f>
        <v>0</v>
      </c>
      <c r="I22" s="323">
        <v>270</v>
      </c>
      <c r="J22" s="325"/>
      <c r="K22" s="327">
        <v>99</v>
      </c>
      <c r="L22" s="330">
        <v>80</v>
      </c>
      <c r="M22" s="333">
        <v>75</v>
      </c>
      <c r="N22" s="325"/>
      <c r="O22" s="337">
        <v>588</v>
      </c>
    </row>
    <row r="23" spans="1:15" x14ac:dyDescent="0.25">
      <c r="A23" s="339">
        <f t="shared" si="0"/>
        <v>45465</v>
      </c>
      <c r="B23" s="354" t="str">
        <f>TEXT(A23,"ddd")</f>
        <v>Sat</v>
      </c>
      <c r="C23" s="320">
        <f>TRANSPOSE(Pool!C26:AG26)</f>
        <v>0</v>
      </c>
      <c r="D23" s="320">
        <v>875</v>
      </c>
      <c r="E23" s="320">
        <v>176</v>
      </c>
      <c r="F23" s="320">
        <v>1029.92</v>
      </c>
      <c r="G23" s="320">
        <v>0</v>
      </c>
      <c r="H23" s="320">
        <f>TRANSPOSE(Pool!C39:AG39)</f>
        <v>13242.24</v>
      </c>
      <c r="I23" s="323">
        <v>180</v>
      </c>
      <c r="J23" s="325"/>
      <c r="K23" s="327">
        <v>100</v>
      </c>
      <c r="L23" s="330">
        <v>80</v>
      </c>
      <c r="M23" s="333">
        <v>74</v>
      </c>
      <c r="N23" s="325"/>
      <c r="O23" s="337">
        <v>993</v>
      </c>
    </row>
    <row r="24" spans="1:15" x14ac:dyDescent="0.25">
      <c r="A24" s="339">
        <f t="shared" si="0"/>
        <v>45466</v>
      </c>
      <c r="B24" s="354" t="str">
        <f>TEXT(A24,"DDD")</f>
        <v>Sun</v>
      </c>
      <c r="C24" s="320">
        <f>TRANSPOSE(Pool!C27:AG27)</f>
        <v>0</v>
      </c>
      <c r="D24" s="320">
        <v>465</v>
      </c>
      <c r="E24" s="320">
        <v>116</v>
      </c>
      <c r="F24" s="320">
        <v>1276.06</v>
      </c>
      <c r="G24" s="320">
        <v>0</v>
      </c>
      <c r="H24" s="320">
        <f>TRANSPOSE(Pool!C40:AG40)</f>
        <v>13242.24</v>
      </c>
      <c r="I24" s="323">
        <v>0</v>
      </c>
      <c r="J24" s="325"/>
      <c r="K24" s="327">
        <v>100</v>
      </c>
      <c r="L24" s="330">
        <v>80</v>
      </c>
      <c r="M24" s="333">
        <v>77</v>
      </c>
      <c r="N24" s="325"/>
      <c r="O24" s="337">
        <v>862</v>
      </c>
    </row>
    <row r="25" spans="1:15" x14ac:dyDescent="0.25">
      <c r="A25" s="339">
        <f t="shared" si="0"/>
        <v>45467</v>
      </c>
      <c r="B25" s="354" t="str">
        <f>TEXT(A25,"ddd")</f>
        <v>Mon</v>
      </c>
      <c r="C25" s="320">
        <f>TRANSPOSE(Pool!C28:AG28)</f>
        <v>0</v>
      </c>
      <c r="D25" s="320">
        <v>751</v>
      </c>
      <c r="E25" s="320">
        <v>32</v>
      </c>
      <c r="F25" s="320">
        <v>1323.42</v>
      </c>
      <c r="G25" s="320">
        <v>0</v>
      </c>
      <c r="H25" s="320">
        <f>TRANSPOSE(Pool!C41:AG41)</f>
        <v>0</v>
      </c>
      <c r="I25" s="323">
        <v>0</v>
      </c>
      <c r="J25" s="325"/>
      <c r="K25" s="327">
        <v>101</v>
      </c>
      <c r="L25" s="330">
        <v>82</v>
      </c>
      <c r="M25" s="333">
        <v>78</v>
      </c>
      <c r="N25" s="325"/>
      <c r="O25" s="337">
        <v>882</v>
      </c>
    </row>
    <row r="26" spans="1:15" x14ac:dyDescent="0.25">
      <c r="A26" s="339">
        <f t="shared" si="0"/>
        <v>45468</v>
      </c>
      <c r="B26" s="354" t="str">
        <f>TEXT(A26,"DDD")</f>
        <v>Tue</v>
      </c>
      <c r="C26" s="320">
        <f>TRANSPOSE(Pool!C29:AG29)</f>
        <v>15585.37</v>
      </c>
      <c r="D26" s="320">
        <v>872</v>
      </c>
      <c r="E26" s="320">
        <v>52</v>
      </c>
      <c r="F26" s="320">
        <v>1154.8499999999999</v>
      </c>
      <c r="G26" s="320">
        <v>0</v>
      </c>
      <c r="H26" s="320">
        <f>TRANSPOSE(Pool!C42:AG42)</f>
        <v>0</v>
      </c>
      <c r="I26" s="323">
        <v>45</v>
      </c>
      <c r="J26" s="325"/>
      <c r="K26" s="327">
        <v>101</v>
      </c>
      <c r="L26" s="330">
        <v>85</v>
      </c>
      <c r="M26" s="333">
        <v>79</v>
      </c>
      <c r="N26" s="325"/>
      <c r="O26" s="337">
        <v>878</v>
      </c>
    </row>
    <row r="27" spans="1:15" x14ac:dyDescent="0.25">
      <c r="A27" s="339">
        <f t="shared" si="0"/>
        <v>45469</v>
      </c>
      <c r="B27" s="354" t="str">
        <f>TEXT(A27,"ddd")</f>
        <v>Wed</v>
      </c>
      <c r="C27" s="320">
        <f>TRANSPOSE(Pool!C30:AG30)</f>
        <v>15585.37</v>
      </c>
      <c r="D27" s="320">
        <v>302</v>
      </c>
      <c r="E27" s="320">
        <v>44</v>
      </c>
      <c r="F27" s="320">
        <v>763.59</v>
      </c>
      <c r="G27" s="320">
        <v>0</v>
      </c>
      <c r="H27" s="320">
        <f>TRANSPOSE(Pool!C43:AG43)</f>
        <v>0</v>
      </c>
      <c r="I27" s="323">
        <v>45</v>
      </c>
      <c r="J27" s="325"/>
      <c r="K27" s="327">
        <v>100</v>
      </c>
      <c r="L27" s="330">
        <v>80</v>
      </c>
      <c r="M27" s="333">
        <v>77</v>
      </c>
      <c r="N27" s="325"/>
      <c r="O27" s="337">
        <v>619</v>
      </c>
    </row>
    <row r="28" spans="1:15" x14ac:dyDescent="0.25">
      <c r="A28" s="339">
        <f t="shared" si="0"/>
        <v>45470</v>
      </c>
      <c r="B28" s="354" t="str">
        <f>TEXT(A28,"DDD")</f>
        <v>Thu</v>
      </c>
      <c r="C28" s="320">
        <f>TRANSPOSE(Pool!C31:AG31)</f>
        <v>0</v>
      </c>
      <c r="D28" s="320">
        <v>384</v>
      </c>
      <c r="E28" s="320">
        <v>84</v>
      </c>
      <c r="F28" s="320">
        <v>579.29999999999995</v>
      </c>
      <c r="G28" s="320">
        <v>0</v>
      </c>
      <c r="H28" s="320">
        <f>TRANSPOSE(Pool!C44:AG44)</f>
        <v>0</v>
      </c>
      <c r="I28" s="323">
        <v>0</v>
      </c>
      <c r="J28" s="325"/>
      <c r="K28" s="327">
        <v>100</v>
      </c>
      <c r="L28" s="330">
        <v>84</v>
      </c>
      <c r="M28" s="333">
        <v>80</v>
      </c>
      <c r="N28" s="325"/>
      <c r="O28" s="337">
        <v>461</v>
      </c>
    </row>
    <row r="29" spans="1:15" x14ac:dyDescent="0.25">
      <c r="A29" s="339">
        <f t="shared" si="0"/>
        <v>45471</v>
      </c>
      <c r="B29" s="354" t="str">
        <f>TEXT(A29,"ddd")</f>
        <v>Fri</v>
      </c>
      <c r="C29" s="320">
        <f>TRANSPOSE(Pool!C32:AG32)</f>
        <v>0</v>
      </c>
      <c r="D29" s="320">
        <v>645</v>
      </c>
      <c r="E29" s="320">
        <v>241</v>
      </c>
      <c r="F29" s="320">
        <v>1474.21</v>
      </c>
      <c r="G29" s="320">
        <v>0</v>
      </c>
      <c r="H29" s="320">
        <f>TRANSPOSE(Pool!C45:AG45)</f>
        <v>367.29</v>
      </c>
      <c r="I29" s="323">
        <v>0</v>
      </c>
      <c r="J29" s="325"/>
      <c r="K29" s="327">
        <v>101</v>
      </c>
      <c r="L29" s="330">
        <v>82</v>
      </c>
      <c r="M29" s="333">
        <v>78</v>
      </c>
      <c r="N29" s="325"/>
      <c r="O29" s="337">
        <v>1005</v>
      </c>
    </row>
    <row r="30" spans="1:15" x14ac:dyDescent="0.25">
      <c r="A30" s="339">
        <f t="shared" si="0"/>
        <v>45472</v>
      </c>
      <c r="B30" s="354" t="str">
        <f>TEXT(A30,"ddd")</f>
        <v>Sat</v>
      </c>
      <c r="C30" s="320">
        <f>TRANSPOSE(Pool!C33:AG33)</f>
        <v>2456.25</v>
      </c>
      <c r="D30" s="320">
        <v>786</v>
      </c>
      <c r="E30" s="320">
        <v>52</v>
      </c>
      <c r="F30" s="320">
        <v>837.39</v>
      </c>
      <c r="G30" s="320">
        <v>0</v>
      </c>
      <c r="H30" s="320">
        <f>TRANSPOSE(Pool!C46:AG46)</f>
        <v>11373.449999999999</v>
      </c>
      <c r="I30" s="323">
        <v>0</v>
      </c>
      <c r="J30" s="325"/>
      <c r="K30" s="327">
        <v>0</v>
      </c>
      <c r="L30" s="330">
        <v>0</v>
      </c>
      <c r="M30" s="333">
        <v>0</v>
      </c>
      <c r="N30" s="325"/>
      <c r="O30" s="337">
        <v>768</v>
      </c>
    </row>
    <row r="31" spans="1:15" x14ac:dyDescent="0.25">
      <c r="A31" s="339">
        <f t="shared" si="0"/>
        <v>45473</v>
      </c>
      <c r="B31" s="354" t="str">
        <f>TEXT(A31,"ddd")</f>
        <v>Sun</v>
      </c>
      <c r="C31" s="320">
        <f>TRANSPOSE(Pool!C34:AG34)</f>
        <v>13130.62</v>
      </c>
      <c r="D31" s="320">
        <v>697</v>
      </c>
      <c r="E31" s="320">
        <v>32</v>
      </c>
      <c r="F31" s="320">
        <v>937.17</v>
      </c>
      <c r="G31" s="320">
        <v>0</v>
      </c>
      <c r="H31" s="320">
        <f>TRANSPOSE(Pool!C47:AG47)</f>
        <v>558</v>
      </c>
      <c r="I31" s="323">
        <v>0</v>
      </c>
      <c r="J31" s="325"/>
      <c r="K31" s="327">
        <v>0</v>
      </c>
      <c r="L31" s="330">
        <v>0</v>
      </c>
      <c r="M31" s="333">
        <v>0</v>
      </c>
      <c r="N31" s="325"/>
      <c r="O31" s="337">
        <v>946</v>
      </c>
    </row>
    <row r="32" spans="1:15" ht="15.75" thickBot="1" x14ac:dyDescent="0.3">
      <c r="A32" s="340">
        <f t="shared" si="0"/>
        <v>45474</v>
      </c>
      <c r="B32" s="355" t="str">
        <f>TEXT(A32,"ddd")</f>
        <v>Mon</v>
      </c>
      <c r="C32" s="321">
        <f>TRANSPOSE(Pool!C35:AG35)</f>
        <v>0</v>
      </c>
      <c r="D32" s="321">
        <v>0</v>
      </c>
      <c r="E32" s="321">
        <v>0</v>
      </c>
      <c r="F32" s="321">
        <v>0</v>
      </c>
      <c r="G32" s="321">
        <v>0</v>
      </c>
      <c r="H32" s="321">
        <f>TRANSPOSE(Pool!C48:AG48)</f>
        <v>121</v>
      </c>
      <c r="I32" s="324">
        <v>0</v>
      </c>
      <c r="J32" s="325"/>
      <c r="K32" s="328">
        <v>0</v>
      </c>
      <c r="L32" s="331">
        <v>0</v>
      </c>
      <c r="M32" s="335">
        <v>0</v>
      </c>
      <c r="N32" s="325"/>
      <c r="O32" s="338">
        <v>0</v>
      </c>
    </row>
    <row r="33" spans="1:15" ht="15.75" thickBot="1" x14ac:dyDescent="0.3">
      <c r="C33" s="208"/>
      <c r="D33" s="208"/>
      <c r="E33" s="208"/>
      <c r="F33" s="208"/>
      <c r="G33" s="208"/>
      <c r="H33" s="208"/>
      <c r="I33" s="208"/>
    </row>
    <row r="34" spans="1:15" ht="15.75" thickBot="1" x14ac:dyDescent="0.3">
      <c r="A34" s="341" t="s">
        <v>76</v>
      </c>
      <c r="B34" s="342"/>
      <c r="C34" s="343">
        <f t="shared" ref="C34:I34" si="1">SUM(C2:C33)</f>
        <v>62260.19</v>
      </c>
      <c r="D34" s="343">
        <f t="shared" si="1"/>
        <v>17247</v>
      </c>
      <c r="E34" s="343">
        <f t="shared" si="1"/>
        <v>2643</v>
      </c>
      <c r="F34" s="343">
        <f t="shared" si="1"/>
        <v>27651.820000000007</v>
      </c>
      <c r="G34" s="343">
        <f t="shared" si="1"/>
        <v>0</v>
      </c>
      <c r="H34" s="343">
        <f t="shared" si="1"/>
        <v>78630.939999999988</v>
      </c>
      <c r="I34" s="344">
        <f t="shared" si="1"/>
        <v>1620</v>
      </c>
      <c r="J34" s="60"/>
      <c r="K34" s="345">
        <f>Pool!AJ57</f>
        <v>100.32142857142857</v>
      </c>
      <c r="L34" s="346">
        <f>Pool!AJ58</f>
        <v>83.285714285714292</v>
      </c>
      <c r="M34" s="347">
        <f>Pool!AJ59</f>
        <v>77.821428571428569</v>
      </c>
      <c r="N34" s="102"/>
      <c r="O34" s="348">
        <f>SUM(O2:O33)</f>
        <v>22419</v>
      </c>
    </row>
    <row r="37" spans="1:15" x14ac:dyDescent="0.25">
      <c r="A37" s="349" t="s">
        <v>145</v>
      </c>
      <c r="B37" s="349"/>
      <c r="C37" s="349"/>
      <c r="D37" s="349"/>
      <c r="E37" s="349"/>
    </row>
    <row r="38" spans="1:15" x14ac:dyDescent="0.25">
      <c r="A38" s="349"/>
      <c r="B38" s="349"/>
      <c r="C38" s="349" t="s">
        <v>146</v>
      </c>
      <c r="D38" s="349">
        <v>100</v>
      </c>
      <c r="E38" s="349"/>
    </row>
    <row r="39" spans="1:15" x14ac:dyDescent="0.25">
      <c r="A39" s="349"/>
      <c r="B39" s="350" t="s">
        <v>147</v>
      </c>
      <c r="C39" s="350" t="s">
        <v>148</v>
      </c>
      <c r="D39" s="350">
        <v>-10</v>
      </c>
      <c r="E39" s="349"/>
    </row>
    <row r="40" spans="1:15" x14ac:dyDescent="0.25">
      <c r="A40" s="349"/>
      <c r="B40" s="349"/>
      <c r="C40" s="349"/>
      <c r="D40" s="349">
        <v>90</v>
      </c>
      <c r="E40" s="349"/>
    </row>
    <row r="41" spans="1:15" x14ac:dyDescent="0.25">
      <c r="A41" s="349"/>
      <c r="B41" s="351" t="s">
        <v>149</v>
      </c>
      <c r="C41" s="351" t="s">
        <v>58</v>
      </c>
      <c r="D41" s="351">
        <v>20</v>
      </c>
      <c r="E41" s="349"/>
    </row>
    <row r="42" spans="1:15" x14ac:dyDescent="0.25">
      <c r="A42" s="349"/>
      <c r="B42" s="349"/>
      <c r="C42" s="349"/>
      <c r="D42" s="352">
        <v>110</v>
      </c>
      <c r="E42" s="352" t="s">
        <v>106</v>
      </c>
    </row>
  </sheetData>
  <sheetProtection algorithmName="SHA-512" hashValue="kkUtirCtjVPJyYLmW2Gp12kuUM84hpo9/arq4cVEB1Gp91dVMSb31LjBUvAU/01bAwFDkKONF7m/UlRs4x9S5Q==" saltValue="RxWBhvd7cedodFh65TX5gw==" spinCount="100000" sheet="1"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zoomScale="9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Y15" sqref="Y15"/>
    </sheetView>
  </sheetViews>
  <sheetFormatPr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2" width="9.5703125" style="59" bestFit="1" customWidth="1"/>
    <col min="33" max="33" width="9.5703125" style="59" hidden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16384" width="9.140625" style="59"/>
  </cols>
  <sheetData>
    <row r="1" spans="1:37" ht="15.75" thickBot="1" x14ac:dyDescent="0.3">
      <c r="A1" s="168" t="s">
        <v>115</v>
      </c>
      <c r="B1" s="283" t="str">
        <f>'Cash Flow'!C1</f>
        <v>June</v>
      </c>
      <c r="C1" s="226" t="str">
        <f t="array" ref="C1:AG1">TRANSPOSE('Cash Flow'!B8:B38)</f>
        <v>Sat</v>
      </c>
      <c r="D1" s="226" t="str">
        <v>Sun</v>
      </c>
      <c r="E1" s="226" t="str">
        <v>Mon</v>
      </c>
      <c r="F1" s="226" t="str">
        <v>Tue</v>
      </c>
      <c r="G1" s="226" t="str">
        <v>Wed</v>
      </c>
      <c r="H1" s="226" t="str">
        <v>Thu</v>
      </c>
      <c r="I1" s="226" t="str">
        <v>Fri</v>
      </c>
      <c r="J1" s="226" t="str">
        <v>Sat</v>
      </c>
      <c r="K1" s="226" t="str">
        <v>Sun</v>
      </c>
      <c r="L1" s="226" t="str">
        <v>Mon</v>
      </c>
      <c r="M1" s="226" t="str">
        <v>Tue</v>
      </c>
      <c r="N1" s="226" t="str">
        <v>Wed</v>
      </c>
      <c r="O1" s="226" t="str">
        <v>Thu</v>
      </c>
      <c r="P1" s="226" t="str">
        <v>Fri</v>
      </c>
      <c r="Q1" s="226" t="str">
        <v>Sat</v>
      </c>
      <c r="R1" s="226" t="str">
        <v>Sun</v>
      </c>
      <c r="S1" s="226" t="str">
        <v>Mon</v>
      </c>
      <c r="T1" s="226" t="str">
        <v>Tue</v>
      </c>
      <c r="U1" s="226" t="str">
        <v>Wed</v>
      </c>
      <c r="V1" s="226" t="str">
        <v>Thu</v>
      </c>
      <c r="W1" s="226" t="str">
        <v>Fri</v>
      </c>
      <c r="X1" s="226" t="str">
        <v>Sat</v>
      </c>
      <c r="Y1" s="226" t="str">
        <v>Sun</v>
      </c>
      <c r="Z1" s="226" t="str">
        <v>Mon</v>
      </c>
      <c r="AA1" s="226" t="str">
        <v>Tue</v>
      </c>
      <c r="AB1" s="226" t="str">
        <v>Wed</v>
      </c>
      <c r="AC1" s="226" t="str">
        <v>Thu</v>
      </c>
      <c r="AD1" s="226" t="str">
        <v>Fri</v>
      </c>
      <c r="AE1" s="226" t="str">
        <v>Sat</v>
      </c>
      <c r="AF1" s="226" t="str">
        <v>Sun</v>
      </c>
      <c r="AG1" s="226" t="str">
        <v>Mon</v>
      </c>
    </row>
    <row r="2" spans="1:37" ht="16.5" thickBot="1" x14ac:dyDescent="0.3">
      <c r="A2" s="117" t="s">
        <v>66</v>
      </c>
      <c r="B2" s="118" t="s">
        <v>128</v>
      </c>
      <c r="C2" s="106">
        <f>'Cash Flow'!A8</f>
        <v>45444</v>
      </c>
      <c r="D2" s="106">
        <f t="shared" ref="D2:AG2" si="0">C2+1</f>
        <v>45445</v>
      </c>
      <c r="E2" s="106">
        <f t="shared" si="0"/>
        <v>45446</v>
      </c>
      <c r="F2" s="106">
        <f t="shared" si="0"/>
        <v>45447</v>
      </c>
      <c r="G2" s="106">
        <f t="shared" si="0"/>
        <v>45448</v>
      </c>
      <c r="H2" s="106">
        <f t="shared" si="0"/>
        <v>45449</v>
      </c>
      <c r="I2" s="106">
        <f t="shared" si="0"/>
        <v>45450</v>
      </c>
      <c r="J2" s="106">
        <f t="shared" si="0"/>
        <v>45451</v>
      </c>
      <c r="K2" s="106">
        <f t="shared" si="0"/>
        <v>45452</v>
      </c>
      <c r="L2" s="106">
        <f t="shared" si="0"/>
        <v>45453</v>
      </c>
      <c r="M2" s="106">
        <f t="shared" si="0"/>
        <v>45454</v>
      </c>
      <c r="N2" s="106">
        <f t="shared" si="0"/>
        <v>45455</v>
      </c>
      <c r="O2" s="106">
        <f t="shared" si="0"/>
        <v>45456</v>
      </c>
      <c r="P2" s="106">
        <f t="shared" si="0"/>
        <v>45457</v>
      </c>
      <c r="Q2" s="106">
        <f t="shared" si="0"/>
        <v>45458</v>
      </c>
      <c r="R2" s="106">
        <f t="shared" si="0"/>
        <v>45459</v>
      </c>
      <c r="S2" s="106">
        <f t="shared" si="0"/>
        <v>45460</v>
      </c>
      <c r="T2" s="106">
        <f t="shared" si="0"/>
        <v>45461</v>
      </c>
      <c r="U2" s="106">
        <f t="shared" si="0"/>
        <v>45462</v>
      </c>
      <c r="V2" s="106">
        <f t="shared" si="0"/>
        <v>45463</v>
      </c>
      <c r="W2" s="106">
        <f t="shared" si="0"/>
        <v>45464</v>
      </c>
      <c r="X2" s="106">
        <f t="shared" si="0"/>
        <v>45465</v>
      </c>
      <c r="Y2" s="106">
        <f t="shared" si="0"/>
        <v>45466</v>
      </c>
      <c r="Z2" s="106">
        <f t="shared" si="0"/>
        <v>45467</v>
      </c>
      <c r="AA2" s="106">
        <f t="shared" si="0"/>
        <v>45468</v>
      </c>
      <c r="AB2" s="106">
        <f t="shared" si="0"/>
        <v>45469</v>
      </c>
      <c r="AC2" s="106">
        <f t="shared" si="0"/>
        <v>45470</v>
      </c>
      <c r="AD2" s="106">
        <f t="shared" si="0"/>
        <v>45471</v>
      </c>
      <c r="AE2" s="106">
        <f t="shared" si="0"/>
        <v>45472</v>
      </c>
      <c r="AF2" s="106">
        <f t="shared" si="0"/>
        <v>45473</v>
      </c>
      <c r="AG2" s="106">
        <f t="shared" si="0"/>
        <v>45474</v>
      </c>
      <c r="AH2" s="119" t="s">
        <v>59</v>
      </c>
      <c r="AJ2" s="63" t="s">
        <v>66</v>
      </c>
      <c r="AK2" s="64" t="s">
        <v>128</v>
      </c>
    </row>
    <row r="3" spans="1:37" ht="15.75" x14ac:dyDescent="0.25">
      <c r="A3" s="120" t="s">
        <v>61</v>
      </c>
      <c r="B3" s="121" t="s">
        <v>83</v>
      </c>
      <c r="C3" s="113">
        <v>8.01</v>
      </c>
      <c r="D3" s="113">
        <v>9.84</v>
      </c>
      <c r="E3" s="113">
        <v>13.24</v>
      </c>
      <c r="F3" s="113">
        <v>21.39</v>
      </c>
      <c r="G3" s="113">
        <v>7.66</v>
      </c>
      <c r="H3" s="113">
        <v>32.74</v>
      </c>
      <c r="I3" s="113">
        <v>17.75</v>
      </c>
      <c r="J3" s="113">
        <v>28.82</v>
      </c>
      <c r="K3" s="113">
        <v>9.81</v>
      </c>
      <c r="L3" s="113">
        <v>23.04</v>
      </c>
      <c r="M3" s="113">
        <v>17.440000000000001</v>
      </c>
      <c r="N3" s="113">
        <v>23.12</v>
      </c>
      <c r="O3" s="113">
        <v>25.42</v>
      </c>
      <c r="P3" s="113">
        <v>20.54</v>
      </c>
      <c r="Q3" s="113">
        <v>34.99</v>
      </c>
      <c r="R3" s="113">
        <v>19.91</v>
      </c>
      <c r="S3" s="113">
        <v>30.92</v>
      </c>
      <c r="T3" s="113">
        <v>43.57</v>
      </c>
      <c r="U3" s="113">
        <v>11.93</v>
      </c>
      <c r="V3" s="113">
        <v>25.14</v>
      </c>
      <c r="W3" s="113">
        <v>24.81</v>
      </c>
      <c r="X3" s="113">
        <v>22.03</v>
      </c>
      <c r="Y3" s="113">
        <v>24.31</v>
      </c>
      <c r="Z3" s="113">
        <v>19.18</v>
      </c>
      <c r="AA3" s="113">
        <v>30.38</v>
      </c>
      <c r="AB3" s="113">
        <v>29.11</v>
      </c>
      <c r="AC3" s="113">
        <v>12.63</v>
      </c>
      <c r="AD3" s="113">
        <v>30.52</v>
      </c>
      <c r="AE3" s="113">
        <v>43.53</v>
      </c>
      <c r="AF3" s="113">
        <v>13.2</v>
      </c>
      <c r="AG3" s="113"/>
      <c r="AH3" s="108">
        <f t="shared" ref="AH3:AH15" si="1">SUM(C3:AG3)</f>
        <v>674.98</v>
      </c>
      <c r="AJ3" s="158" t="s">
        <v>61</v>
      </c>
      <c r="AK3" s="159" t="s">
        <v>83</v>
      </c>
    </row>
    <row r="4" spans="1:37" ht="15.75" x14ac:dyDescent="0.25">
      <c r="A4" s="122" t="s">
        <v>69</v>
      </c>
      <c r="B4" s="123" t="s">
        <v>70</v>
      </c>
      <c r="C4" s="124">
        <v>1375</v>
      </c>
      <c r="D4" s="124">
        <v>1980</v>
      </c>
      <c r="E4" s="124">
        <v>1711</v>
      </c>
      <c r="F4" s="124">
        <v>1871</v>
      </c>
      <c r="G4" s="124">
        <v>1579</v>
      </c>
      <c r="H4" s="124">
        <v>2159</v>
      </c>
      <c r="I4" s="124">
        <v>1905</v>
      </c>
      <c r="J4" s="124">
        <v>3119</v>
      </c>
      <c r="K4" s="124">
        <v>2712</v>
      </c>
      <c r="L4" s="124">
        <v>2263</v>
      </c>
      <c r="M4" s="124">
        <v>2561</v>
      </c>
      <c r="N4" s="124">
        <v>2543</v>
      </c>
      <c r="O4" s="124">
        <v>2452</v>
      </c>
      <c r="P4" s="124">
        <v>1941</v>
      </c>
      <c r="Q4" s="124">
        <v>3563</v>
      </c>
      <c r="R4" s="124">
        <v>2814</v>
      </c>
      <c r="S4" s="124">
        <v>2406</v>
      </c>
      <c r="T4" s="124">
        <v>3084</v>
      </c>
      <c r="U4" s="124">
        <v>2612</v>
      </c>
      <c r="V4" s="124">
        <f>3055+21</f>
        <v>3076</v>
      </c>
      <c r="W4" s="124">
        <v>2851</v>
      </c>
      <c r="X4" s="124">
        <v>3312</v>
      </c>
      <c r="Y4" s="124">
        <f>2518+175</f>
        <v>2693</v>
      </c>
      <c r="Z4" s="124">
        <v>2536</v>
      </c>
      <c r="AA4" s="124">
        <v>2607</v>
      </c>
      <c r="AB4" s="124">
        <v>2148</v>
      </c>
      <c r="AC4" s="124">
        <v>2270</v>
      </c>
      <c r="AD4" s="124">
        <v>2863</v>
      </c>
      <c r="AE4" s="124">
        <v>2931</v>
      </c>
      <c r="AF4" s="124">
        <v>2723</v>
      </c>
      <c r="AG4" s="124"/>
      <c r="AH4" s="108">
        <f t="shared" si="1"/>
        <v>74660</v>
      </c>
      <c r="AJ4" s="160" t="s">
        <v>69</v>
      </c>
      <c r="AK4" s="161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  <c r="AA5" s="125"/>
      <c r="AB5" s="125"/>
      <c r="AC5" s="125"/>
      <c r="AD5" s="125"/>
      <c r="AE5" s="125"/>
      <c r="AF5" s="125"/>
      <c r="AG5" s="125"/>
      <c r="AH5" s="108">
        <f t="shared" si="1"/>
        <v>0</v>
      </c>
      <c r="AJ5" s="160" t="s">
        <v>80</v>
      </c>
      <c r="AK5" s="161" t="s">
        <v>82</v>
      </c>
    </row>
    <row r="6" spans="1:37" ht="15.75" x14ac:dyDescent="0.25">
      <c r="A6" s="122" t="s">
        <v>79</v>
      </c>
      <c r="B6" s="123" t="s">
        <v>201</v>
      </c>
      <c r="C6" s="125">
        <v>84.71</v>
      </c>
      <c r="D6" s="125">
        <v>104.1</v>
      </c>
      <c r="E6" s="125">
        <v>140.35</v>
      </c>
      <c r="F6" s="125">
        <v>226.12</v>
      </c>
      <c r="G6" s="125">
        <v>80.760000000000005</v>
      </c>
      <c r="H6" s="125">
        <v>346.43</v>
      </c>
      <c r="I6" s="125">
        <v>187.6</v>
      </c>
      <c r="J6" s="125">
        <v>304.83</v>
      </c>
      <c r="K6" s="125">
        <v>103.56</v>
      </c>
      <c r="L6" s="125">
        <v>241.07</v>
      </c>
      <c r="M6" s="125">
        <v>184.38</v>
      </c>
      <c r="N6" s="125">
        <v>244.63</v>
      </c>
      <c r="O6" s="125">
        <v>267.8</v>
      </c>
      <c r="P6" s="125">
        <v>217.44</v>
      </c>
      <c r="Q6" s="125">
        <v>370.12</v>
      </c>
      <c r="R6" s="125">
        <v>208.47</v>
      </c>
      <c r="S6" s="125">
        <v>327.14999999999998</v>
      </c>
      <c r="T6" s="125">
        <v>460.99</v>
      </c>
      <c r="U6" s="125">
        <v>126.13</v>
      </c>
      <c r="V6" s="125">
        <v>265.27999999999997</v>
      </c>
      <c r="W6" s="125">
        <v>262.55</v>
      </c>
      <c r="X6" s="125">
        <v>232.25</v>
      </c>
      <c r="Y6" s="125">
        <v>256.01</v>
      </c>
      <c r="Z6" s="125">
        <v>202.58</v>
      </c>
      <c r="AA6" s="125">
        <v>321.23</v>
      </c>
      <c r="AB6" s="125">
        <v>307.64</v>
      </c>
      <c r="AC6" s="125">
        <v>133.68</v>
      </c>
      <c r="AD6" s="125">
        <v>322.31</v>
      </c>
      <c r="AE6" s="125">
        <v>430.81</v>
      </c>
      <c r="AF6" s="125">
        <v>139.66999999999999</v>
      </c>
      <c r="AG6" s="125"/>
      <c r="AH6" s="108">
        <f t="shared" si="1"/>
        <v>7100.6500000000024</v>
      </c>
      <c r="AJ6" s="160" t="s">
        <v>79</v>
      </c>
      <c r="AK6" s="161" t="s">
        <v>201</v>
      </c>
    </row>
    <row r="7" spans="1:37" ht="15.75" x14ac:dyDescent="0.25">
      <c r="A7" s="122" t="s">
        <v>79</v>
      </c>
      <c r="B7" s="123" t="s">
        <v>81</v>
      </c>
      <c r="C7" s="125"/>
      <c r="D7" s="125">
        <v>1.06</v>
      </c>
      <c r="E7" s="125"/>
      <c r="F7" s="125"/>
      <c r="G7" s="125"/>
      <c r="H7" s="125">
        <v>0.53</v>
      </c>
      <c r="I7" s="125"/>
      <c r="J7" s="125"/>
      <c r="K7" s="125">
        <v>2.12</v>
      </c>
      <c r="L7" s="125"/>
      <c r="M7" s="125"/>
      <c r="N7" s="125">
        <v>2.12</v>
      </c>
      <c r="O7" s="125"/>
      <c r="P7" s="125"/>
      <c r="Q7" s="125"/>
      <c r="R7" s="125"/>
      <c r="S7" s="125">
        <v>1.06</v>
      </c>
      <c r="T7" s="125">
        <v>3.18</v>
      </c>
      <c r="U7" s="125">
        <v>4.24</v>
      </c>
      <c r="V7" s="125"/>
      <c r="W7" s="125"/>
      <c r="X7" s="125"/>
      <c r="Y7" s="125"/>
      <c r="Z7" s="125"/>
      <c r="AA7" s="125">
        <v>6.36</v>
      </c>
      <c r="AB7" s="125"/>
      <c r="AC7" s="125"/>
      <c r="AD7" s="125"/>
      <c r="AE7" s="125"/>
      <c r="AF7" s="125"/>
      <c r="AG7" s="125"/>
      <c r="AH7" s="108">
        <f t="shared" si="1"/>
        <v>20.67</v>
      </c>
      <c r="AJ7" s="160" t="s">
        <v>79</v>
      </c>
      <c r="AK7" s="161" t="s">
        <v>81</v>
      </c>
    </row>
    <row r="8" spans="1:37" ht="16.5" thickBot="1" x14ac:dyDescent="0.3">
      <c r="A8" s="432"/>
      <c r="B8" s="431" t="s">
        <v>191</v>
      </c>
      <c r="C8" s="430">
        <f t="shared" ref="C8:AG8" si="2">SUM(C3:C7)</f>
        <v>1467.72</v>
      </c>
      <c r="D8" s="430">
        <f t="shared" si="2"/>
        <v>2095</v>
      </c>
      <c r="E8" s="430">
        <f t="shared" si="2"/>
        <v>1864.59</v>
      </c>
      <c r="F8" s="430">
        <f t="shared" si="2"/>
        <v>2118.5100000000002</v>
      </c>
      <c r="G8" s="430">
        <f t="shared" si="2"/>
        <v>1667.42</v>
      </c>
      <c r="H8" s="430">
        <f t="shared" si="2"/>
        <v>2538.6999999999998</v>
      </c>
      <c r="I8" s="430">
        <f t="shared" si="2"/>
        <v>2110.35</v>
      </c>
      <c r="J8" s="430">
        <f t="shared" si="2"/>
        <v>3452.65</v>
      </c>
      <c r="K8" s="430">
        <f t="shared" si="2"/>
        <v>2827.49</v>
      </c>
      <c r="L8" s="430">
        <f t="shared" si="2"/>
        <v>2527.11</v>
      </c>
      <c r="M8" s="430">
        <f t="shared" si="2"/>
        <v>2762.82</v>
      </c>
      <c r="N8" s="430">
        <f t="shared" si="2"/>
        <v>2812.87</v>
      </c>
      <c r="O8" s="430">
        <f t="shared" si="2"/>
        <v>2745.2200000000003</v>
      </c>
      <c r="P8" s="430">
        <f t="shared" si="2"/>
        <v>2178.98</v>
      </c>
      <c r="Q8" s="430">
        <f t="shared" si="2"/>
        <v>3968.1099999999997</v>
      </c>
      <c r="R8" s="430">
        <f t="shared" si="2"/>
        <v>3042.3799999999997</v>
      </c>
      <c r="S8" s="430">
        <f t="shared" si="2"/>
        <v>2765.13</v>
      </c>
      <c r="T8" s="430">
        <f t="shared" si="2"/>
        <v>3591.7400000000002</v>
      </c>
      <c r="U8" s="430">
        <f t="shared" si="2"/>
        <v>2754.2999999999997</v>
      </c>
      <c r="V8" s="430">
        <f t="shared" si="2"/>
        <v>3366.42</v>
      </c>
      <c r="W8" s="430">
        <f t="shared" si="2"/>
        <v>3138.36</v>
      </c>
      <c r="X8" s="430">
        <f t="shared" si="2"/>
        <v>3566.28</v>
      </c>
      <c r="Y8" s="430">
        <f t="shared" si="2"/>
        <v>2973.3199999999997</v>
      </c>
      <c r="Z8" s="430">
        <f t="shared" si="2"/>
        <v>2757.7599999999998</v>
      </c>
      <c r="AA8" s="430">
        <f t="shared" si="2"/>
        <v>2964.9700000000003</v>
      </c>
      <c r="AB8" s="430">
        <f t="shared" si="2"/>
        <v>2484.75</v>
      </c>
      <c r="AC8" s="430">
        <f t="shared" si="2"/>
        <v>2416.31</v>
      </c>
      <c r="AD8" s="430">
        <f t="shared" si="2"/>
        <v>3215.83</v>
      </c>
      <c r="AE8" s="430">
        <f t="shared" si="2"/>
        <v>3405.34</v>
      </c>
      <c r="AF8" s="430">
        <f t="shared" si="2"/>
        <v>2875.87</v>
      </c>
      <c r="AG8" s="430">
        <f t="shared" si="2"/>
        <v>0</v>
      </c>
      <c r="AH8" s="429">
        <f t="shared" si="1"/>
        <v>82456.299999999988</v>
      </c>
      <c r="AJ8" s="160"/>
      <c r="AK8" s="161"/>
    </row>
    <row r="9" spans="1:37" ht="15.75" x14ac:dyDescent="0.25">
      <c r="A9" s="428" t="s">
        <v>61</v>
      </c>
      <c r="B9" s="427" t="s">
        <v>83</v>
      </c>
      <c r="C9" s="426">
        <v>14.01</v>
      </c>
      <c r="D9" s="107">
        <v>17.73</v>
      </c>
      <c r="E9" s="425">
        <v>7.51</v>
      </c>
      <c r="F9" s="425">
        <v>6.25</v>
      </c>
      <c r="G9" s="425">
        <v>17.940000000000001</v>
      </c>
      <c r="H9" s="425">
        <v>18.14</v>
      </c>
      <c r="I9" s="425">
        <v>17.87</v>
      </c>
      <c r="J9" s="425">
        <v>34.11</v>
      </c>
      <c r="K9" s="425">
        <v>28.88</v>
      </c>
      <c r="L9" s="425">
        <v>16.62</v>
      </c>
      <c r="M9" s="425">
        <v>12.04</v>
      </c>
      <c r="N9" s="425">
        <v>11.69</v>
      </c>
      <c r="O9" s="425">
        <v>27.48</v>
      </c>
      <c r="P9" s="425">
        <v>11.1</v>
      </c>
      <c r="Q9" s="425">
        <v>29.31</v>
      </c>
      <c r="R9" s="425">
        <v>20.51</v>
      </c>
      <c r="S9" s="425">
        <v>11.66</v>
      </c>
      <c r="T9" s="425">
        <v>15.43</v>
      </c>
      <c r="U9" s="425">
        <v>15.15</v>
      </c>
      <c r="V9" s="425">
        <v>23.47</v>
      </c>
      <c r="W9" s="425">
        <f>23.85-1.83</f>
        <v>22.020000000000003</v>
      </c>
      <c r="X9" s="425">
        <v>12.23</v>
      </c>
      <c r="Y9" s="425">
        <v>30.14</v>
      </c>
      <c r="Z9" s="425">
        <v>8.8699999999999992</v>
      </c>
      <c r="AA9" s="425">
        <v>14.19</v>
      </c>
      <c r="AB9" s="425">
        <v>20.83</v>
      </c>
      <c r="AC9" s="425">
        <v>21.76</v>
      </c>
      <c r="AD9" s="425">
        <v>24.97</v>
      </c>
      <c r="AE9" s="425">
        <v>16.14</v>
      </c>
      <c r="AF9" s="425">
        <v>12.53</v>
      </c>
      <c r="AG9" s="425"/>
      <c r="AH9" s="424">
        <f t="shared" si="1"/>
        <v>540.57999999999993</v>
      </c>
      <c r="AJ9" s="422"/>
      <c r="AK9" s="421"/>
    </row>
    <row r="10" spans="1:37" ht="15.75" x14ac:dyDescent="0.25">
      <c r="A10" s="122" t="s">
        <v>69</v>
      </c>
      <c r="B10" s="123" t="s">
        <v>70</v>
      </c>
      <c r="C10" s="423">
        <v>1714</v>
      </c>
      <c r="D10" s="125">
        <v>1183</v>
      </c>
      <c r="E10" s="151">
        <v>992</v>
      </c>
      <c r="F10" s="151">
        <v>1167</v>
      </c>
      <c r="G10" s="151">
        <v>1409</v>
      </c>
      <c r="H10" s="151">
        <v>1511</v>
      </c>
      <c r="I10" s="151">
        <v>1280</v>
      </c>
      <c r="J10" s="151">
        <v>1987</v>
      </c>
      <c r="K10" s="151">
        <v>1729</v>
      </c>
      <c r="L10" s="151">
        <v>1627</v>
      </c>
      <c r="M10" s="151">
        <v>1558</v>
      </c>
      <c r="N10" s="151">
        <v>1556</v>
      </c>
      <c r="O10" s="151">
        <v>1618</v>
      </c>
      <c r="P10" s="151">
        <v>1650</v>
      </c>
      <c r="Q10" s="151">
        <v>2862</v>
      </c>
      <c r="R10" s="151">
        <v>2152</v>
      </c>
      <c r="S10" s="151">
        <v>1969</v>
      </c>
      <c r="T10" s="151">
        <v>2071</v>
      </c>
      <c r="U10" s="151">
        <v>2278</v>
      </c>
      <c r="V10" s="151">
        <v>1764</v>
      </c>
      <c r="W10" s="151">
        <v>2089</v>
      </c>
      <c r="X10" s="151">
        <v>2383</v>
      </c>
      <c r="Y10" s="151">
        <v>2687</v>
      </c>
      <c r="Z10" s="151">
        <v>1823</v>
      </c>
      <c r="AA10" s="151">
        <v>2064</v>
      </c>
      <c r="AB10" s="151">
        <v>2431</v>
      </c>
      <c r="AC10" s="151">
        <v>1846</v>
      </c>
      <c r="AD10" s="151">
        <v>1848</v>
      </c>
      <c r="AE10" s="151">
        <v>2222</v>
      </c>
      <c r="AF10" s="151">
        <v>1904</v>
      </c>
      <c r="AG10" s="151"/>
      <c r="AH10" s="418">
        <f t="shared" si="1"/>
        <v>55374</v>
      </c>
      <c r="AJ10" s="422"/>
      <c r="AK10" s="421"/>
    </row>
    <row r="11" spans="1:37" ht="15.75" x14ac:dyDescent="0.25">
      <c r="A11" s="122" t="s">
        <v>80</v>
      </c>
      <c r="B11" s="123" t="s">
        <v>82</v>
      </c>
      <c r="C11" s="423"/>
      <c r="D11" s="125"/>
      <c r="E11" s="151"/>
      <c r="F11" s="151"/>
      <c r="G11" s="151"/>
      <c r="H11" s="151"/>
      <c r="I11" s="151"/>
      <c r="J11" s="151"/>
      <c r="K11" s="151"/>
      <c r="L11" s="151"/>
      <c r="M11" s="151"/>
      <c r="N11" s="151">
        <v>31.94</v>
      </c>
      <c r="O11" s="151"/>
      <c r="P11" s="151"/>
      <c r="Q11" s="151"/>
      <c r="R11" s="151"/>
      <c r="S11" s="151"/>
      <c r="T11" s="151"/>
      <c r="U11" s="151"/>
      <c r="V11" s="151"/>
      <c r="W11" s="151"/>
      <c r="X11" s="151"/>
      <c r="Y11" s="151">
        <v>44</v>
      </c>
      <c r="Z11" s="151"/>
      <c r="AA11" s="151"/>
      <c r="AB11" s="151"/>
      <c r="AC11" s="151"/>
      <c r="AD11" s="151"/>
      <c r="AE11" s="151"/>
      <c r="AF11" s="151">
        <v>100</v>
      </c>
      <c r="AG11" s="151"/>
      <c r="AH11" s="418">
        <f t="shared" si="1"/>
        <v>175.94</v>
      </c>
      <c r="AJ11" s="422"/>
      <c r="AK11" s="421"/>
    </row>
    <row r="12" spans="1:37" ht="15.75" x14ac:dyDescent="0.25">
      <c r="A12" s="122" t="s">
        <v>79</v>
      </c>
      <c r="B12" s="123" t="s">
        <v>201</v>
      </c>
      <c r="C12" s="423">
        <v>148.16</v>
      </c>
      <c r="D12" s="125">
        <v>187.26</v>
      </c>
      <c r="E12" s="151">
        <v>79.37</v>
      </c>
      <c r="F12" s="151">
        <v>65.72</v>
      </c>
      <c r="G12" s="151">
        <v>189.26</v>
      </c>
      <c r="H12" s="151">
        <v>191.35</v>
      </c>
      <c r="I12" s="151">
        <v>188.52</v>
      </c>
      <c r="J12" s="151">
        <v>360.72</v>
      </c>
      <c r="K12" s="151">
        <v>304.73</v>
      </c>
      <c r="L12" s="151">
        <v>175.3</v>
      </c>
      <c r="M12" s="151">
        <v>127.5</v>
      </c>
      <c r="N12" s="151">
        <v>123.24</v>
      </c>
      <c r="O12" s="151">
        <v>290.33999999999997</v>
      </c>
      <c r="P12" s="151">
        <v>117.17</v>
      </c>
      <c r="Q12" s="151">
        <v>309.83999999999997</v>
      </c>
      <c r="R12" s="151">
        <v>216.97</v>
      </c>
      <c r="S12" s="151">
        <v>123.05</v>
      </c>
      <c r="T12" s="151">
        <v>162.07</v>
      </c>
      <c r="U12" s="151">
        <v>160.06</v>
      </c>
      <c r="V12" s="151">
        <v>248.01</v>
      </c>
      <c r="W12" s="151">
        <f>252.19-19.4</f>
        <v>232.79</v>
      </c>
      <c r="X12" s="151">
        <v>129.16999999999999</v>
      </c>
      <c r="Y12" s="151">
        <v>318.44</v>
      </c>
      <c r="Z12" s="151">
        <v>93.35</v>
      </c>
      <c r="AA12" s="151">
        <v>149.44</v>
      </c>
      <c r="AB12" s="151">
        <v>220.26</v>
      </c>
      <c r="AC12" s="151">
        <v>230.08</v>
      </c>
      <c r="AD12" s="151">
        <v>263.54000000000002</v>
      </c>
      <c r="AE12" s="151">
        <v>170.56</v>
      </c>
      <c r="AF12" s="151">
        <v>132.62</v>
      </c>
      <c r="AG12" s="151"/>
      <c r="AH12" s="418">
        <f t="shared" si="1"/>
        <v>5708.89</v>
      </c>
      <c r="AJ12" s="422"/>
      <c r="AK12" s="421"/>
    </row>
    <row r="13" spans="1:37" ht="15.75" x14ac:dyDescent="0.25">
      <c r="A13" s="122" t="s">
        <v>79</v>
      </c>
      <c r="B13" s="123" t="s">
        <v>81</v>
      </c>
      <c r="C13" s="423"/>
      <c r="D13" s="125"/>
      <c r="E13" s="151">
        <v>12.5</v>
      </c>
      <c r="F13" s="151"/>
      <c r="G13" s="151"/>
      <c r="H13" s="151"/>
      <c r="I13" s="151"/>
      <c r="J13" s="151"/>
      <c r="K13" s="151"/>
      <c r="L13" s="151"/>
      <c r="M13" s="151"/>
      <c r="N13" s="151">
        <v>2.12</v>
      </c>
      <c r="O13" s="151"/>
      <c r="P13" s="151"/>
      <c r="Q13" s="151">
        <v>1.06</v>
      </c>
      <c r="R13" s="151"/>
      <c r="S13" s="151"/>
      <c r="T13" s="151"/>
      <c r="U13" s="151"/>
      <c r="V13" s="151">
        <v>2.65</v>
      </c>
      <c r="W13" s="151"/>
      <c r="X13" s="151">
        <v>0.53</v>
      </c>
      <c r="Y13" s="151"/>
      <c r="Z13" s="151"/>
      <c r="AA13" s="151"/>
      <c r="AB13" s="151"/>
      <c r="AC13" s="151"/>
      <c r="AD13" s="151"/>
      <c r="AE13" s="151"/>
      <c r="AF13" s="151"/>
      <c r="AG13" s="151"/>
      <c r="AH13" s="418">
        <f t="shared" si="1"/>
        <v>18.860000000000003</v>
      </c>
      <c r="AJ13" s="422"/>
      <c r="AK13" s="421"/>
    </row>
    <row r="14" spans="1:37" ht="16.5" thickBot="1" x14ac:dyDescent="0.3">
      <c r="A14" s="132"/>
      <c r="B14" s="420" t="s">
        <v>190</v>
      </c>
      <c r="C14" s="419">
        <f t="shared" ref="C14:AG14" si="3">SUM(C9:C13)</f>
        <v>1876.17</v>
      </c>
      <c r="D14" s="419">
        <f t="shared" si="3"/>
        <v>1387.99</v>
      </c>
      <c r="E14" s="419">
        <f t="shared" si="3"/>
        <v>1091.3800000000001</v>
      </c>
      <c r="F14" s="419">
        <f t="shared" si="3"/>
        <v>1238.97</v>
      </c>
      <c r="G14" s="419">
        <f t="shared" si="3"/>
        <v>1616.2</v>
      </c>
      <c r="H14" s="419">
        <f t="shared" si="3"/>
        <v>1720.49</v>
      </c>
      <c r="I14" s="419">
        <f t="shared" si="3"/>
        <v>1486.3899999999999</v>
      </c>
      <c r="J14" s="419">
        <f t="shared" si="3"/>
        <v>2381.83</v>
      </c>
      <c r="K14" s="419">
        <f t="shared" si="3"/>
        <v>2062.61</v>
      </c>
      <c r="L14" s="419">
        <f t="shared" si="3"/>
        <v>1818.9199999999998</v>
      </c>
      <c r="M14" s="419">
        <f t="shared" si="3"/>
        <v>1697.54</v>
      </c>
      <c r="N14" s="419">
        <f t="shared" si="3"/>
        <v>1724.99</v>
      </c>
      <c r="O14" s="419">
        <f t="shared" si="3"/>
        <v>1935.82</v>
      </c>
      <c r="P14" s="419">
        <f t="shared" si="3"/>
        <v>1778.27</v>
      </c>
      <c r="Q14" s="419">
        <f t="shared" si="3"/>
        <v>3202.21</v>
      </c>
      <c r="R14" s="419">
        <f t="shared" si="3"/>
        <v>2389.48</v>
      </c>
      <c r="S14" s="419">
        <f t="shared" si="3"/>
        <v>2103.71</v>
      </c>
      <c r="T14" s="419">
        <f t="shared" si="3"/>
        <v>2248.5</v>
      </c>
      <c r="U14" s="419">
        <f t="shared" si="3"/>
        <v>2453.21</v>
      </c>
      <c r="V14" s="419">
        <f t="shared" si="3"/>
        <v>2038.13</v>
      </c>
      <c r="W14" s="419">
        <f t="shared" si="3"/>
        <v>2343.81</v>
      </c>
      <c r="X14" s="419">
        <f t="shared" si="3"/>
        <v>2524.9300000000003</v>
      </c>
      <c r="Y14" s="419">
        <f t="shared" si="3"/>
        <v>3079.58</v>
      </c>
      <c r="Z14" s="419">
        <f t="shared" si="3"/>
        <v>1925.2199999999998</v>
      </c>
      <c r="AA14" s="419">
        <f t="shared" si="3"/>
        <v>2227.63</v>
      </c>
      <c r="AB14" s="419">
        <f t="shared" si="3"/>
        <v>2672.09</v>
      </c>
      <c r="AC14" s="419">
        <f t="shared" si="3"/>
        <v>2097.84</v>
      </c>
      <c r="AD14" s="419">
        <f t="shared" si="3"/>
        <v>2136.5100000000002</v>
      </c>
      <c r="AE14" s="419">
        <f t="shared" si="3"/>
        <v>2408.6999999999998</v>
      </c>
      <c r="AF14" s="419">
        <f t="shared" si="3"/>
        <v>2149.15</v>
      </c>
      <c r="AG14" s="419">
        <f t="shared" si="3"/>
        <v>0</v>
      </c>
      <c r="AH14" s="418">
        <f t="shared" si="1"/>
        <v>61818.26999999999</v>
      </c>
      <c r="AJ14" s="77"/>
      <c r="AK14" s="78"/>
    </row>
    <row r="15" spans="1:37" x14ac:dyDescent="0.25">
      <c r="A15" s="134"/>
      <c r="B15" s="412" t="s">
        <v>64</v>
      </c>
      <c r="C15" s="411">
        <f t="shared" ref="C15:AG15" si="4">SUM(C3:C7,C9:C13)</f>
        <v>3343.89</v>
      </c>
      <c r="D15" s="411">
        <f t="shared" si="4"/>
        <v>3482.99</v>
      </c>
      <c r="E15" s="411">
        <f t="shared" si="4"/>
        <v>2955.97</v>
      </c>
      <c r="F15" s="411">
        <f t="shared" si="4"/>
        <v>3357.48</v>
      </c>
      <c r="G15" s="411">
        <f t="shared" si="4"/>
        <v>3283.62</v>
      </c>
      <c r="H15" s="411">
        <f t="shared" si="4"/>
        <v>4259.1899999999996</v>
      </c>
      <c r="I15" s="411">
        <f t="shared" si="4"/>
        <v>3596.74</v>
      </c>
      <c r="J15" s="411">
        <f t="shared" si="4"/>
        <v>5834.4800000000005</v>
      </c>
      <c r="K15" s="411">
        <f t="shared" si="4"/>
        <v>4890.1000000000004</v>
      </c>
      <c r="L15" s="411">
        <f t="shared" si="4"/>
        <v>4346.03</v>
      </c>
      <c r="M15" s="411">
        <f t="shared" si="4"/>
        <v>4460.3600000000006</v>
      </c>
      <c r="N15" s="411">
        <f t="shared" si="4"/>
        <v>4537.8599999999988</v>
      </c>
      <c r="O15" s="411">
        <f t="shared" si="4"/>
        <v>4681.0400000000009</v>
      </c>
      <c r="P15" s="411">
        <f t="shared" si="4"/>
        <v>3957.25</v>
      </c>
      <c r="Q15" s="411">
        <f t="shared" si="4"/>
        <v>7170.3200000000006</v>
      </c>
      <c r="R15" s="411">
        <f t="shared" si="4"/>
        <v>5431.86</v>
      </c>
      <c r="S15" s="411">
        <f t="shared" si="4"/>
        <v>4868.84</v>
      </c>
      <c r="T15" s="411">
        <f t="shared" si="4"/>
        <v>5840.24</v>
      </c>
      <c r="U15" s="411">
        <f t="shared" si="4"/>
        <v>5207.51</v>
      </c>
      <c r="V15" s="411">
        <f t="shared" si="4"/>
        <v>5404.5499999999993</v>
      </c>
      <c r="W15" s="411">
        <f t="shared" si="4"/>
        <v>5482.17</v>
      </c>
      <c r="X15" s="411">
        <f t="shared" si="4"/>
        <v>6091.21</v>
      </c>
      <c r="Y15" s="411">
        <f t="shared" si="4"/>
        <v>6052.8999999999987</v>
      </c>
      <c r="Z15" s="411">
        <f t="shared" si="4"/>
        <v>4682.9799999999996</v>
      </c>
      <c r="AA15" s="411">
        <f t="shared" si="4"/>
        <v>5192.5999999999995</v>
      </c>
      <c r="AB15" s="411">
        <f t="shared" si="4"/>
        <v>5156.84</v>
      </c>
      <c r="AC15" s="411">
        <f t="shared" si="4"/>
        <v>4514.1499999999996</v>
      </c>
      <c r="AD15" s="411">
        <f t="shared" si="4"/>
        <v>5352.3399999999992</v>
      </c>
      <c r="AE15" s="411">
        <f t="shared" si="4"/>
        <v>5814.04</v>
      </c>
      <c r="AF15" s="411">
        <f t="shared" si="4"/>
        <v>5025.0199999999995</v>
      </c>
      <c r="AG15" s="411">
        <f t="shared" si="4"/>
        <v>0</v>
      </c>
      <c r="AH15" s="109">
        <f t="shared" si="1"/>
        <v>144274.56999999998</v>
      </c>
      <c r="AJ15" s="83"/>
      <c r="AK15" s="84" t="s">
        <v>64</v>
      </c>
    </row>
    <row r="16" spans="1:37" ht="15.75" thickBot="1" x14ac:dyDescent="0.3">
      <c r="A16" s="284"/>
      <c r="B16" s="285"/>
      <c r="C16" s="286"/>
      <c r="D16" s="286"/>
      <c r="E16" s="286"/>
      <c r="F16" s="286"/>
      <c r="G16" s="286"/>
      <c r="H16" s="286"/>
      <c r="I16" s="286"/>
      <c r="J16" s="28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7"/>
      <c r="AJ16" s="188"/>
      <c r="AK16" s="188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7"/>
      <c r="AJ17" s="509" t="s">
        <v>127</v>
      </c>
      <c r="AK17" s="510"/>
      <c r="AL17" s="510"/>
      <c r="AM17" s="511"/>
    </row>
    <row r="18" spans="1:40" ht="16.5" thickBot="1" x14ac:dyDescent="0.3">
      <c r="A18" s="365" t="str">
        <f>'[1]TEMP Summary'!A12</f>
        <v>01-00-1000</v>
      </c>
      <c r="B18" s="451" t="s">
        <v>189</v>
      </c>
      <c r="C18" s="433">
        <v>512.75</v>
      </c>
      <c r="D18" s="434">
        <v>673.1</v>
      </c>
      <c r="E18" s="434">
        <v>483.75</v>
      </c>
      <c r="F18" s="434">
        <v>701.41</v>
      </c>
      <c r="G18" s="434">
        <v>567.41999999999996</v>
      </c>
      <c r="H18" s="434">
        <v>700.96</v>
      </c>
      <c r="I18" s="434">
        <v>763.59</v>
      </c>
      <c r="J18" s="434">
        <v>889.55</v>
      </c>
      <c r="K18" s="434">
        <v>939.23</v>
      </c>
      <c r="L18" s="434">
        <v>804.22</v>
      </c>
      <c r="M18" s="434">
        <v>786.17</v>
      </c>
      <c r="N18" s="434">
        <v>918.58</v>
      </c>
      <c r="O18" s="434">
        <v>1036.24</v>
      </c>
      <c r="P18" s="434">
        <v>514.97</v>
      </c>
      <c r="Q18" s="434">
        <v>1221.04</v>
      </c>
      <c r="R18" s="434">
        <v>769.1</v>
      </c>
      <c r="S18" s="434">
        <v>713.86</v>
      </c>
      <c r="T18" s="107">
        <v>959.31</v>
      </c>
      <c r="U18" s="107">
        <v>666.22</v>
      </c>
      <c r="V18" s="107">
        <v>859.61</v>
      </c>
      <c r="W18" s="107">
        <v>1028.95</v>
      </c>
      <c r="X18" s="107">
        <v>990.04</v>
      </c>
      <c r="Y18" s="107">
        <f>722.05+175</f>
        <v>897.05</v>
      </c>
      <c r="Z18" s="107">
        <v>991.56</v>
      </c>
      <c r="AA18" s="107">
        <v>892.76</v>
      </c>
      <c r="AB18" s="107">
        <v>886.68</v>
      </c>
      <c r="AC18" s="107">
        <v>571.99</v>
      </c>
      <c r="AD18" s="480">
        <v>814</v>
      </c>
      <c r="AE18" s="480">
        <v>875.51</v>
      </c>
      <c r="AF18" s="480">
        <v>824.54</v>
      </c>
      <c r="AG18" s="481"/>
      <c r="AH18" s="416">
        <f t="shared" ref="AH18:AH24" si="5">SUM(C18:AG18)</f>
        <v>24254.16</v>
      </c>
      <c r="AJ18" s="280" t="s">
        <v>66</v>
      </c>
      <c r="AK18" s="281" t="s">
        <v>128</v>
      </c>
      <c r="AL18" s="281" t="s">
        <v>120</v>
      </c>
      <c r="AM18" s="282" t="s">
        <v>121</v>
      </c>
    </row>
    <row r="19" spans="1:40" ht="16.5" thickBot="1" x14ac:dyDescent="0.3">
      <c r="A19" s="366" t="str">
        <f>'[1]TEMP Summary'!A13</f>
        <v>01-00-1000</v>
      </c>
      <c r="B19" s="452" t="s">
        <v>188</v>
      </c>
      <c r="C19" s="435">
        <v>509.78</v>
      </c>
      <c r="D19" s="436">
        <v>438.31</v>
      </c>
      <c r="E19" s="436">
        <v>421.69</v>
      </c>
      <c r="F19" s="436">
        <v>447.95</v>
      </c>
      <c r="G19" s="436">
        <v>439.24</v>
      </c>
      <c r="H19" s="436">
        <v>531.49</v>
      </c>
      <c r="I19" s="436">
        <v>620.28</v>
      </c>
      <c r="J19" s="436">
        <v>727.44</v>
      </c>
      <c r="K19" s="436">
        <v>657.62</v>
      </c>
      <c r="L19" s="436">
        <v>615.95000000000005</v>
      </c>
      <c r="M19" s="436">
        <v>486.54</v>
      </c>
      <c r="N19" s="436">
        <v>588.74</v>
      </c>
      <c r="O19" s="436">
        <v>460.1</v>
      </c>
      <c r="P19" s="436">
        <v>466</v>
      </c>
      <c r="Q19" s="436">
        <v>1033.93</v>
      </c>
      <c r="R19" s="436">
        <v>614.29999999999995</v>
      </c>
      <c r="S19" s="436">
        <v>702.53</v>
      </c>
      <c r="T19" s="125">
        <v>592.87</v>
      </c>
      <c r="U19" s="125">
        <v>774.57</v>
      </c>
      <c r="V19" s="125">
        <v>637.12</v>
      </c>
      <c r="W19" s="125">
        <v>521.04999999999995</v>
      </c>
      <c r="X19" s="125">
        <v>882.96</v>
      </c>
      <c r="Y19" s="125">
        <v>1051.32</v>
      </c>
      <c r="Z19" s="125">
        <v>581.69000000000005</v>
      </c>
      <c r="AA19" s="125">
        <v>705.66</v>
      </c>
      <c r="AB19" s="125">
        <v>678.18</v>
      </c>
      <c r="AC19" s="125">
        <v>530.48</v>
      </c>
      <c r="AD19" s="482">
        <v>635.27</v>
      </c>
      <c r="AE19" s="482">
        <v>697.73</v>
      </c>
      <c r="AF19" s="482">
        <v>627.67999999999995</v>
      </c>
      <c r="AG19" s="483"/>
      <c r="AH19" s="415">
        <f t="shared" si="5"/>
        <v>18678.47</v>
      </c>
      <c r="AJ19" s="356"/>
      <c r="AK19" s="357"/>
      <c r="AL19" s="357"/>
      <c r="AM19" s="358"/>
    </row>
    <row r="20" spans="1:40" ht="15.75" x14ac:dyDescent="0.25">
      <c r="A20" s="366" t="str">
        <f>'[1]TEMP Summary'!A14</f>
        <v>01-00-1000</v>
      </c>
      <c r="B20" s="452" t="s">
        <v>187</v>
      </c>
      <c r="C20" s="435">
        <v>954.97</v>
      </c>
      <c r="D20" s="436">
        <v>1421.9</v>
      </c>
      <c r="E20" s="436">
        <v>1380.84</v>
      </c>
      <c r="F20" s="436">
        <v>1417.1</v>
      </c>
      <c r="G20" s="436">
        <v>1100</v>
      </c>
      <c r="H20" s="436">
        <v>1837.74</v>
      </c>
      <c r="I20" s="436">
        <v>1346.76</v>
      </c>
      <c r="J20" s="436">
        <v>2563.1</v>
      </c>
      <c r="K20" s="436">
        <v>1926.26</v>
      </c>
      <c r="L20" s="436">
        <v>1722.89</v>
      </c>
      <c r="M20" s="436">
        <v>1976.65</v>
      </c>
      <c r="N20" s="436">
        <v>1894.29</v>
      </c>
      <c r="O20" s="436">
        <v>1708.98</v>
      </c>
      <c r="P20" s="436">
        <v>1650.01</v>
      </c>
      <c r="Q20" s="436">
        <v>2747.07</v>
      </c>
      <c r="R20" s="436">
        <v>2273.2800000000002</v>
      </c>
      <c r="S20" s="436">
        <v>2051.27</v>
      </c>
      <c r="T20" s="125">
        <v>2632.43</v>
      </c>
      <c r="U20" s="125">
        <v>2088.08</v>
      </c>
      <c r="V20" s="125">
        <v>2485.81</v>
      </c>
      <c r="W20" s="125">
        <v>2109.41</v>
      </c>
      <c r="X20" s="125">
        <v>2576.2399999999998</v>
      </c>
      <c r="Y20" s="125">
        <v>2076.27</v>
      </c>
      <c r="Z20" s="482">
        <v>1766.2</v>
      </c>
      <c r="AA20" s="482">
        <v>2072.21</v>
      </c>
      <c r="AB20" s="482">
        <v>1603.07</v>
      </c>
      <c r="AC20" s="482">
        <v>1844.37</v>
      </c>
      <c r="AD20" s="482">
        <v>2401.83</v>
      </c>
      <c r="AE20" s="482">
        <v>2529.83</v>
      </c>
      <c r="AF20" s="482">
        <v>2051.33</v>
      </c>
      <c r="AG20" s="483"/>
      <c r="AH20" s="415">
        <f t="shared" si="5"/>
        <v>58210.189999999995</v>
      </c>
      <c r="AJ20" s="126" t="s">
        <v>60</v>
      </c>
      <c r="AK20" s="127" t="s">
        <v>54</v>
      </c>
      <c r="AL20" s="449">
        <f>SUM(C18:AC19)</f>
        <v>38457.900000000016</v>
      </c>
      <c r="AM20" s="450">
        <f>SUM(AD18:AG19)</f>
        <v>4474.7300000000005</v>
      </c>
    </row>
    <row r="21" spans="1:40" ht="15.75" x14ac:dyDescent="0.25">
      <c r="A21" s="366" t="str">
        <f>'[1]TEMP Summary'!A15</f>
        <v>01-00-1000</v>
      </c>
      <c r="B21" s="452" t="s">
        <v>186</v>
      </c>
      <c r="C21" s="435">
        <v>1366.39</v>
      </c>
      <c r="D21" s="436">
        <v>949.78</v>
      </c>
      <c r="E21" s="436">
        <v>669.69</v>
      </c>
      <c r="F21" s="436">
        <v>791.02</v>
      </c>
      <c r="G21" s="436">
        <v>1176.96</v>
      </c>
      <c r="H21" s="436">
        <v>1189</v>
      </c>
      <c r="I21" s="436">
        <v>866.11</v>
      </c>
      <c r="J21" s="436">
        <v>1654.39</v>
      </c>
      <c r="K21" s="436">
        <v>1404.99</v>
      </c>
      <c r="L21" s="436">
        <v>1182.97</v>
      </c>
      <c r="M21" s="436">
        <v>1211</v>
      </c>
      <c r="N21" s="436">
        <v>1136.25</v>
      </c>
      <c r="O21" s="436">
        <v>1475.72</v>
      </c>
      <c r="P21" s="436">
        <v>1311.54</v>
      </c>
      <c r="Q21" s="436">
        <v>2168.2800000000002</v>
      </c>
      <c r="R21" s="436">
        <v>1775.18</v>
      </c>
      <c r="S21" s="436">
        <v>1401.13</v>
      </c>
      <c r="T21" s="125">
        <v>1655.52</v>
      </c>
      <c r="U21" s="125">
        <v>1678.64</v>
      </c>
      <c r="V21" s="125">
        <v>1401.01</v>
      </c>
      <c r="W21" s="125">
        <v>1831.99</v>
      </c>
      <c r="X21" s="125">
        <v>1641.97</v>
      </c>
      <c r="Y21" s="125">
        <v>2028.26</v>
      </c>
      <c r="Z21" s="482">
        <v>1343.53</v>
      </c>
      <c r="AA21" s="482">
        <v>1521.97</v>
      </c>
      <c r="AB21" s="482">
        <v>1993.91</v>
      </c>
      <c r="AC21" s="482">
        <v>1567.36</v>
      </c>
      <c r="AD21" s="482">
        <v>1501.24</v>
      </c>
      <c r="AE21" s="482">
        <v>1710.97</v>
      </c>
      <c r="AF21" s="482">
        <v>1521.47</v>
      </c>
      <c r="AG21" s="483"/>
      <c r="AH21" s="415">
        <f>SUM(C21:AG21)</f>
        <v>43128.240000000005</v>
      </c>
      <c r="AJ21" s="129" t="s">
        <v>60</v>
      </c>
      <c r="AK21" s="130" t="s">
        <v>202</v>
      </c>
      <c r="AL21" s="288">
        <f>SUM(C20:Y21)-AL29</f>
        <v>73535.839999999982</v>
      </c>
      <c r="AM21" s="289">
        <f>SUM(Z20:AG21)-AM29</f>
        <v>24635.330000000005</v>
      </c>
    </row>
    <row r="22" spans="1:40" ht="15.75" x14ac:dyDescent="0.25">
      <c r="A22" s="366" t="s">
        <v>60</v>
      </c>
      <c r="B22" s="457" t="s">
        <v>204</v>
      </c>
      <c r="C22" s="458"/>
      <c r="D22" s="459"/>
      <c r="E22" s="459"/>
      <c r="F22" s="459"/>
      <c r="G22" s="459"/>
      <c r="H22" s="459"/>
      <c r="I22" s="459"/>
      <c r="J22" s="459"/>
      <c r="K22" s="459"/>
      <c r="L22" s="459"/>
      <c r="M22" s="459"/>
      <c r="N22" s="459"/>
      <c r="O22" s="459"/>
      <c r="P22" s="459"/>
      <c r="Q22" s="459"/>
      <c r="R22" s="459"/>
      <c r="S22" s="459"/>
      <c r="T22" s="151"/>
      <c r="U22" s="151"/>
      <c r="V22" s="151">
        <v>21</v>
      </c>
      <c r="W22" s="151"/>
      <c r="X22" s="151"/>
      <c r="Y22" s="151"/>
      <c r="Z22" s="151"/>
      <c r="AA22" s="151"/>
      <c r="AB22" s="151"/>
      <c r="AC22" s="151"/>
      <c r="AD22" s="151"/>
      <c r="AE22" s="151"/>
      <c r="AF22" s="485"/>
      <c r="AG22" s="486"/>
      <c r="AH22" s="415">
        <f>SUM(C22:AG22)</f>
        <v>21</v>
      </c>
      <c r="AJ22" s="359" t="s">
        <v>60</v>
      </c>
      <c r="AK22" s="360" t="s">
        <v>206</v>
      </c>
      <c r="AL22" s="361">
        <f>SUM(C22:AE23)</f>
        <v>21</v>
      </c>
      <c r="AM22" s="362">
        <f>SUM(AF22:AG23)</f>
        <v>0</v>
      </c>
    </row>
    <row r="23" spans="1:40" ht="16.5" thickBot="1" x14ac:dyDescent="0.3">
      <c r="A23" s="367" t="s">
        <v>60</v>
      </c>
      <c r="B23" s="453" t="s">
        <v>205</v>
      </c>
      <c r="C23" s="363"/>
      <c r="D23" s="364"/>
      <c r="E23" s="364"/>
      <c r="F23" s="364"/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  <c r="AA23" s="364"/>
      <c r="AB23" s="364"/>
      <c r="AC23" s="364"/>
      <c r="AD23" s="364"/>
      <c r="AE23" s="364"/>
      <c r="AF23" s="487"/>
      <c r="AG23" s="488"/>
      <c r="AH23" s="414">
        <f t="shared" si="5"/>
        <v>0</v>
      </c>
      <c r="AJ23" s="359"/>
      <c r="AK23" s="360"/>
      <c r="AL23" s="361"/>
      <c r="AM23" s="362"/>
    </row>
    <row r="24" spans="1:40" ht="16.5" thickBot="1" x14ac:dyDescent="0.3">
      <c r="A24" s="454"/>
      <c r="B24" s="455" t="s">
        <v>65</v>
      </c>
      <c r="C24" s="468">
        <f>SUM(C18:C23)</f>
        <v>3343.8900000000003</v>
      </c>
      <c r="D24" s="469">
        <f t="shared" ref="D24:AG24" si="6">SUM(D18:D23)</f>
        <v>3483.09</v>
      </c>
      <c r="E24" s="469">
        <f t="shared" si="6"/>
        <v>2955.97</v>
      </c>
      <c r="F24" s="469">
        <f t="shared" si="6"/>
        <v>3357.48</v>
      </c>
      <c r="G24" s="469">
        <f t="shared" si="6"/>
        <v>3283.62</v>
      </c>
      <c r="H24" s="469">
        <f t="shared" si="6"/>
        <v>4259.1900000000005</v>
      </c>
      <c r="I24" s="469">
        <f t="shared" si="6"/>
        <v>3596.7400000000002</v>
      </c>
      <c r="J24" s="469">
        <f t="shared" si="6"/>
        <v>5834.4800000000005</v>
      </c>
      <c r="K24" s="469">
        <f t="shared" si="6"/>
        <v>4928.0999999999995</v>
      </c>
      <c r="L24" s="469">
        <f t="shared" si="6"/>
        <v>4326.0300000000007</v>
      </c>
      <c r="M24" s="469">
        <f t="shared" si="6"/>
        <v>4460.3600000000006</v>
      </c>
      <c r="N24" s="469">
        <f t="shared" si="6"/>
        <v>4537.8600000000006</v>
      </c>
      <c r="O24" s="469">
        <f t="shared" si="6"/>
        <v>4681.04</v>
      </c>
      <c r="P24" s="469">
        <f t="shared" si="6"/>
        <v>3942.52</v>
      </c>
      <c r="Q24" s="469">
        <f t="shared" si="6"/>
        <v>7170.3200000000015</v>
      </c>
      <c r="R24" s="469">
        <f t="shared" si="6"/>
        <v>5431.8600000000006</v>
      </c>
      <c r="S24" s="469">
        <f t="shared" si="6"/>
        <v>4868.79</v>
      </c>
      <c r="T24" s="469">
        <f t="shared" si="6"/>
        <v>5840.1299999999992</v>
      </c>
      <c r="U24" s="469">
        <f t="shared" si="6"/>
        <v>5207.51</v>
      </c>
      <c r="V24" s="469">
        <f t="shared" si="6"/>
        <v>5404.55</v>
      </c>
      <c r="W24" s="469">
        <f t="shared" si="6"/>
        <v>5491.4</v>
      </c>
      <c r="X24" s="469">
        <f t="shared" si="6"/>
        <v>6091.21</v>
      </c>
      <c r="Y24" s="469">
        <f t="shared" si="6"/>
        <v>6052.9</v>
      </c>
      <c r="Z24" s="469">
        <f t="shared" si="6"/>
        <v>4682.9799999999996</v>
      </c>
      <c r="AA24" s="469">
        <f t="shared" si="6"/>
        <v>5192.6000000000004</v>
      </c>
      <c r="AB24" s="469">
        <f t="shared" si="6"/>
        <v>5161.84</v>
      </c>
      <c r="AC24" s="469">
        <f t="shared" si="6"/>
        <v>4514.2</v>
      </c>
      <c r="AD24" s="469">
        <f t="shared" si="6"/>
        <v>5352.34</v>
      </c>
      <c r="AE24" s="469">
        <f t="shared" si="6"/>
        <v>5814.04</v>
      </c>
      <c r="AF24" s="469">
        <f t="shared" si="6"/>
        <v>5025.0199999999995</v>
      </c>
      <c r="AG24" s="470">
        <f t="shared" si="6"/>
        <v>0</v>
      </c>
      <c r="AH24" s="456">
        <f t="shared" si="5"/>
        <v>144292.05999999997</v>
      </c>
      <c r="AJ24" s="135" t="s">
        <v>84</v>
      </c>
      <c r="AK24" s="136" t="s">
        <v>33</v>
      </c>
      <c r="AL24" s="290">
        <f>SUM(AH26:AH27)</f>
        <v>-17.489999999999554</v>
      </c>
      <c r="AM24" s="291"/>
      <c r="AN24" s="116" t="s">
        <v>129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8" t="s">
        <v>76</v>
      </c>
      <c r="AK25" s="512"/>
      <c r="AL25" s="513">
        <f>SUM(AL20:AM24)</f>
        <v>141107.31000000003</v>
      </c>
      <c r="AM25" s="514"/>
      <c r="AN25" s="292">
        <f>AL25-(AH24+AH26+AH27-AH29)</f>
        <v>0</v>
      </c>
    </row>
    <row r="26" spans="1:40" ht="15.75" x14ac:dyDescent="0.25">
      <c r="A26" s="413"/>
      <c r="B26" s="412" t="s">
        <v>185</v>
      </c>
      <c r="C26" s="411">
        <f>SUM(C3:C7)-(C18+C20+C22)</f>
        <v>0</v>
      </c>
      <c r="D26" s="411">
        <f t="shared" ref="D26:AG26" si="7">SUM(D3:D7)-(D18+D20+D22)</f>
        <v>0</v>
      </c>
      <c r="E26" s="411">
        <f t="shared" si="7"/>
        <v>0</v>
      </c>
      <c r="F26" s="411">
        <f t="shared" si="7"/>
        <v>0</v>
      </c>
      <c r="G26" s="411">
        <f t="shared" si="7"/>
        <v>0</v>
      </c>
      <c r="H26" s="411">
        <f t="shared" si="7"/>
        <v>0</v>
      </c>
      <c r="I26" s="411">
        <f t="shared" si="7"/>
        <v>0</v>
      </c>
      <c r="J26" s="411">
        <f t="shared" si="7"/>
        <v>0</v>
      </c>
      <c r="K26" s="411">
        <f t="shared" si="7"/>
        <v>-38</v>
      </c>
      <c r="L26" s="411">
        <f t="shared" si="7"/>
        <v>0</v>
      </c>
      <c r="M26" s="411">
        <f t="shared" si="7"/>
        <v>0</v>
      </c>
      <c r="N26" s="411">
        <f t="shared" si="7"/>
        <v>0</v>
      </c>
      <c r="O26" s="411">
        <f t="shared" si="7"/>
        <v>0</v>
      </c>
      <c r="P26" s="411">
        <f t="shared" si="7"/>
        <v>14</v>
      </c>
      <c r="Q26" s="411">
        <f t="shared" si="7"/>
        <v>0</v>
      </c>
      <c r="R26" s="411">
        <f t="shared" si="7"/>
        <v>0</v>
      </c>
      <c r="S26" s="411">
        <f t="shared" si="7"/>
        <v>0</v>
      </c>
      <c r="T26" s="411">
        <f t="shared" si="7"/>
        <v>0</v>
      </c>
      <c r="U26" s="411">
        <f t="shared" si="7"/>
        <v>0</v>
      </c>
      <c r="V26" s="411">
        <f t="shared" si="7"/>
        <v>0</v>
      </c>
      <c r="W26" s="411">
        <f t="shared" si="7"/>
        <v>0</v>
      </c>
      <c r="X26" s="411">
        <f t="shared" si="7"/>
        <v>0</v>
      </c>
      <c r="Y26" s="411">
        <f t="shared" si="7"/>
        <v>0</v>
      </c>
      <c r="Z26" s="411">
        <f t="shared" si="7"/>
        <v>0</v>
      </c>
      <c r="AA26" s="411">
        <f t="shared" si="7"/>
        <v>0</v>
      </c>
      <c r="AB26" s="411">
        <f t="shared" si="7"/>
        <v>-5</v>
      </c>
      <c r="AC26" s="411">
        <f t="shared" si="7"/>
        <v>-4.9999999999727152E-2</v>
      </c>
      <c r="AD26" s="411">
        <f t="shared" si="7"/>
        <v>0</v>
      </c>
      <c r="AE26" s="411">
        <f t="shared" si="7"/>
        <v>0</v>
      </c>
      <c r="AF26" s="411">
        <f t="shared" si="7"/>
        <v>0</v>
      </c>
      <c r="AG26" s="411">
        <f t="shared" si="7"/>
        <v>0</v>
      </c>
      <c r="AH26" s="110">
        <f>SUM(C26:AG26)</f>
        <v>-29.049999999999727</v>
      </c>
    </row>
    <row r="27" spans="1:40" ht="16.5" thickBot="1" x14ac:dyDescent="0.3">
      <c r="A27" s="410"/>
      <c r="B27" s="181" t="s">
        <v>184</v>
      </c>
      <c r="C27" s="409">
        <f>SUM(C9:C13)-(C19+C21+C23)</f>
        <v>0</v>
      </c>
      <c r="D27" s="409">
        <f t="shared" ref="D27:AG27" si="8">SUM(D9:D13)-(D19+D21+D23)</f>
        <v>-9.9999999999909051E-2</v>
      </c>
      <c r="E27" s="409">
        <f t="shared" si="8"/>
        <v>0</v>
      </c>
      <c r="F27" s="409">
        <f t="shared" si="8"/>
        <v>0</v>
      </c>
      <c r="G27" s="409">
        <f t="shared" si="8"/>
        <v>0</v>
      </c>
      <c r="H27" s="409">
        <f t="shared" si="8"/>
        <v>0</v>
      </c>
      <c r="I27" s="409">
        <f t="shared" si="8"/>
        <v>0</v>
      </c>
      <c r="J27" s="409">
        <f t="shared" si="8"/>
        <v>0</v>
      </c>
      <c r="K27" s="409">
        <f t="shared" si="8"/>
        <v>0</v>
      </c>
      <c r="L27" s="409">
        <f t="shared" si="8"/>
        <v>19.999999999999773</v>
      </c>
      <c r="M27" s="409">
        <f t="shared" si="8"/>
        <v>0</v>
      </c>
      <c r="N27" s="409">
        <f t="shared" si="8"/>
        <v>0</v>
      </c>
      <c r="O27" s="409">
        <f t="shared" si="8"/>
        <v>0</v>
      </c>
      <c r="P27" s="409">
        <f t="shared" si="8"/>
        <v>0.73000000000001819</v>
      </c>
      <c r="Q27" s="409">
        <f t="shared" si="8"/>
        <v>0</v>
      </c>
      <c r="R27" s="409">
        <f t="shared" si="8"/>
        <v>0</v>
      </c>
      <c r="S27" s="409">
        <f t="shared" si="8"/>
        <v>5.0000000000181899E-2</v>
      </c>
      <c r="T27" s="409">
        <f t="shared" si="8"/>
        <v>0.11000000000012733</v>
      </c>
      <c r="U27" s="409">
        <f t="shared" si="8"/>
        <v>0</v>
      </c>
      <c r="V27" s="409">
        <f t="shared" si="8"/>
        <v>0</v>
      </c>
      <c r="W27" s="409">
        <f t="shared" si="8"/>
        <v>-9.2300000000000182</v>
      </c>
      <c r="X27" s="409">
        <f t="shared" si="8"/>
        <v>0</v>
      </c>
      <c r="Y27" s="409">
        <f t="shared" si="8"/>
        <v>0</v>
      </c>
      <c r="Z27" s="409">
        <f t="shared" si="8"/>
        <v>0</v>
      </c>
      <c r="AA27" s="409">
        <f t="shared" si="8"/>
        <v>0</v>
      </c>
      <c r="AB27" s="409">
        <f t="shared" si="8"/>
        <v>0</v>
      </c>
      <c r="AC27" s="409">
        <f t="shared" si="8"/>
        <v>0</v>
      </c>
      <c r="AD27" s="409">
        <f t="shared" si="8"/>
        <v>0</v>
      </c>
      <c r="AE27" s="409">
        <f t="shared" si="8"/>
        <v>0</v>
      </c>
      <c r="AF27" s="409">
        <f t="shared" si="8"/>
        <v>0</v>
      </c>
      <c r="AG27" s="409">
        <f t="shared" si="8"/>
        <v>0</v>
      </c>
      <c r="AH27" s="112">
        <f>SUM(C27:AG27)</f>
        <v>11.560000000000173</v>
      </c>
    </row>
    <row r="28" spans="1:40" ht="16.5" thickBot="1" x14ac:dyDescent="0.3">
      <c r="A28" s="442"/>
      <c r="B28" s="442"/>
      <c r="C28" s="443"/>
      <c r="D28" s="443"/>
      <c r="E28" s="443"/>
      <c r="F28" s="443"/>
      <c r="G28" s="443"/>
      <c r="H28" s="443"/>
      <c r="I28" s="443"/>
      <c r="J28" s="443"/>
      <c r="K28" s="443"/>
      <c r="L28" s="443"/>
      <c r="M28" s="443"/>
      <c r="N28" s="443"/>
      <c r="O28" s="443"/>
      <c r="P28" s="443"/>
      <c r="Q28" s="443"/>
      <c r="R28" s="443"/>
      <c r="S28" s="443"/>
      <c r="T28" s="443"/>
      <c r="U28" s="443"/>
      <c r="V28" s="443"/>
      <c r="W28" s="443"/>
      <c r="X28" s="443"/>
      <c r="Y28" s="443"/>
      <c r="Z28" s="443"/>
      <c r="AA28" s="443"/>
      <c r="AB28" s="443"/>
      <c r="AC28" s="443"/>
      <c r="AD28" s="443"/>
      <c r="AE28" s="443"/>
      <c r="AF28" s="443"/>
      <c r="AG28" s="443"/>
      <c r="AH28" s="444"/>
    </row>
    <row r="29" spans="1:40" ht="16.5" thickBot="1" x14ac:dyDescent="0.3">
      <c r="A29" s="445" t="s">
        <v>203</v>
      </c>
      <c r="B29" s="446" t="s">
        <v>195</v>
      </c>
      <c r="C29" s="447">
        <v>72.48</v>
      </c>
      <c r="D29" s="447">
        <v>74.06</v>
      </c>
      <c r="E29" s="447">
        <v>64.05</v>
      </c>
      <c r="F29" s="447">
        <v>68.92</v>
      </c>
      <c r="G29" s="447">
        <v>71.66</v>
      </c>
      <c r="H29" s="447">
        <v>95.37</v>
      </c>
      <c r="I29" s="447">
        <v>69.099999999999994</v>
      </c>
      <c r="J29" s="447">
        <v>131.78</v>
      </c>
      <c r="K29" s="447">
        <v>104.09</v>
      </c>
      <c r="L29" s="447">
        <v>90.76</v>
      </c>
      <c r="M29" s="447">
        <v>99.47</v>
      </c>
      <c r="N29" s="447">
        <v>94.67</v>
      </c>
      <c r="O29" s="447">
        <v>99.4</v>
      </c>
      <c r="P29" s="447">
        <v>92.51</v>
      </c>
      <c r="Q29" s="447">
        <v>153.55000000000001</v>
      </c>
      <c r="R29" s="447">
        <v>126.81</v>
      </c>
      <c r="S29" s="447">
        <v>108.54</v>
      </c>
      <c r="T29" s="447">
        <v>133.9</v>
      </c>
      <c r="U29" s="447">
        <v>117.71</v>
      </c>
      <c r="V29" s="447">
        <v>121.37</v>
      </c>
      <c r="W29" s="447">
        <v>123.05</v>
      </c>
      <c r="X29" s="447">
        <v>131.85</v>
      </c>
      <c r="Y29" s="447">
        <v>128.19999999999999</v>
      </c>
      <c r="Z29" s="484">
        <v>97.09</v>
      </c>
      <c r="AA29" s="484">
        <v>112.09</v>
      </c>
      <c r="AB29" s="484">
        <v>112.31</v>
      </c>
      <c r="AC29" s="484">
        <v>106.54</v>
      </c>
      <c r="AD29" s="484">
        <v>121.87</v>
      </c>
      <c r="AE29" s="484">
        <v>132.46</v>
      </c>
      <c r="AF29" s="484">
        <v>111.6</v>
      </c>
      <c r="AG29" s="484"/>
      <c r="AH29" s="448">
        <f>SUM(C29:AG29)</f>
        <v>3167.26</v>
      </c>
      <c r="AJ29" s="209" t="s">
        <v>203</v>
      </c>
      <c r="AK29" s="210" t="s">
        <v>197</v>
      </c>
      <c r="AL29" s="269">
        <f>SUM(C29:Y29)</f>
        <v>2373.3000000000002</v>
      </c>
      <c r="AM29" s="270">
        <f>SUM(Z29:AG29)</f>
        <v>793.96000000000015</v>
      </c>
    </row>
    <row r="30" spans="1:40" ht="16.5" thickBot="1" x14ac:dyDescent="0.3">
      <c r="B30" s="60" t="s">
        <v>232</v>
      </c>
      <c r="C30" s="479">
        <f>C20+C21-C29</f>
        <v>2248.88</v>
      </c>
      <c r="D30" s="479">
        <f t="shared" ref="D30:AF30" si="9">D20+D21-D29</f>
        <v>2297.6200000000003</v>
      </c>
      <c r="E30" s="479">
        <f t="shared" si="9"/>
        <v>1986.4799999999998</v>
      </c>
      <c r="F30" s="479">
        <f t="shared" si="9"/>
        <v>2139.1999999999998</v>
      </c>
      <c r="G30" s="479">
        <f t="shared" si="9"/>
        <v>2205.3000000000002</v>
      </c>
      <c r="H30" s="479">
        <f t="shared" si="9"/>
        <v>2931.37</v>
      </c>
      <c r="I30" s="479">
        <f t="shared" si="9"/>
        <v>2143.77</v>
      </c>
      <c r="J30" s="479">
        <f t="shared" si="9"/>
        <v>4085.7099999999996</v>
      </c>
      <c r="K30" s="479">
        <f t="shared" si="9"/>
        <v>3227.16</v>
      </c>
      <c r="L30" s="479">
        <f t="shared" si="9"/>
        <v>2815.1</v>
      </c>
      <c r="M30" s="479">
        <f t="shared" si="9"/>
        <v>3088.1800000000003</v>
      </c>
      <c r="N30" s="479">
        <f t="shared" si="9"/>
        <v>2935.87</v>
      </c>
      <c r="O30" s="479">
        <f t="shared" si="9"/>
        <v>3085.2999999999997</v>
      </c>
      <c r="P30" s="479">
        <f t="shared" si="9"/>
        <v>2869.04</v>
      </c>
      <c r="Q30" s="479">
        <f t="shared" si="9"/>
        <v>4761.8</v>
      </c>
      <c r="R30" s="479">
        <f t="shared" si="9"/>
        <v>3921.65</v>
      </c>
      <c r="S30" s="479">
        <f t="shared" si="9"/>
        <v>3343.86</v>
      </c>
      <c r="T30" s="479">
        <f t="shared" si="9"/>
        <v>4154.05</v>
      </c>
      <c r="U30" s="479">
        <f t="shared" si="9"/>
        <v>3649.01</v>
      </c>
      <c r="V30" s="479">
        <f t="shared" si="9"/>
        <v>3765.45</v>
      </c>
      <c r="W30" s="479">
        <f t="shared" si="9"/>
        <v>3818.3499999999995</v>
      </c>
      <c r="X30" s="479">
        <f t="shared" si="9"/>
        <v>4086.36</v>
      </c>
      <c r="Y30" s="479">
        <f t="shared" si="9"/>
        <v>3976.33</v>
      </c>
      <c r="Z30" s="479">
        <f t="shared" si="9"/>
        <v>3012.64</v>
      </c>
      <c r="AA30" s="479">
        <f t="shared" si="9"/>
        <v>3482.09</v>
      </c>
      <c r="AB30" s="479">
        <f t="shared" si="9"/>
        <v>3484.67</v>
      </c>
      <c r="AC30" s="479">
        <f t="shared" si="9"/>
        <v>3305.1899999999996</v>
      </c>
      <c r="AD30" s="479">
        <f t="shared" si="9"/>
        <v>3781.2</v>
      </c>
      <c r="AE30" s="479">
        <f t="shared" si="9"/>
        <v>4108.34</v>
      </c>
      <c r="AF30" s="479">
        <f t="shared" si="9"/>
        <v>3461.2000000000003</v>
      </c>
      <c r="AG30" s="479">
        <f t="shared" ref="AG30" si="10">AG20+AG64-AG29</f>
        <v>0</v>
      </c>
      <c r="AH30" s="61"/>
    </row>
    <row r="31" spans="1:40" ht="16.5" thickBot="1" x14ac:dyDescent="0.3">
      <c r="A31" s="162"/>
      <c r="B31" s="163" t="s">
        <v>57</v>
      </c>
      <c r="C31" s="164"/>
      <c r="D31" s="164"/>
      <c r="E31" s="164"/>
      <c r="F31" s="164"/>
      <c r="G31" s="164"/>
      <c r="H31" s="164"/>
      <c r="I31" s="164"/>
      <c r="J31" s="164"/>
      <c r="K31" s="164"/>
      <c r="L31" s="164"/>
      <c r="M31" s="164"/>
      <c r="N31" s="164"/>
      <c r="O31" s="164"/>
      <c r="P31" s="164"/>
      <c r="Q31" s="164"/>
      <c r="R31" s="164"/>
      <c r="S31" s="164"/>
      <c r="T31" s="164"/>
      <c r="U31" s="164"/>
      <c r="V31" s="164"/>
      <c r="W31" s="164"/>
      <c r="X31" s="164"/>
      <c r="Y31" s="164"/>
      <c r="Z31" s="164"/>
      <c r="AA31" s="164"/>
      <c r="AB31" s="164"/>
      <c r="AC31" s="164"/>
      <c r="AD31" s="164"/>
      <c r="AE31" s="164"/>
      <c r="AF31" s="164"/>
      <c r="AG31" s="164"/>
      <c r="AH31" s="165"/>
      <c r="AJ31" s="507" t="s">
        <v>57</v>
      </c>
      <c r="AK31" s="508"/>
    </row>
    <row r="32" spans="1:40" x14ac:dyDescent="0.25">
      <c r="A32" s="166"/>
      <c r="B32" s="139" t="s">
        <v>75</v>
      </c>
      <c r="C32" s="143">
        <v>147</v>
      </c>
      <c r="D32" s="143">
        <v>205</v>
      </c>
      <c r="E32" s="143">
        <v>177</v>
      </c>
      <c r="F32" s="143">
        <v>178</v>
      </c>
      <c r="G32" s="143">
        <v>159</v>
      </c>
      <c r="H32" s="143">
        <v>190</v>
      </c>
      <c r="I32" s="143">
        <v>181</v>
      </c>
      <c r="J32" s="143">
        <v>325</v>
      </c>
      <c r="K32" s="143">
        <v>313</v>
      </c>
      <c r="L32" s="143">
        <v>221</v>
      </c>
      <c r="M32" s="143">
        <v>239</v>
      </c>
      <c r="N32" s="143">
        <v>236</v>
      </c>
      <c r="O32" s="143">
        <v>215</v>
      </c>
      <c r="P32" s="143">
        <v>178</v>
      </c>
      <c r="Q32" s="143">
        <v>374</v>
      </c>
      <c r="R32" s="143">
        <v>282</v>
      </c>
      <c r="S32" s="143">
        <v>231</v>
      </c>
      <c r="T32" s="143">
        <v>299</v>
      </c>
      <c r="U32" s="143">
        <v>244</v>
      </c>
      <c r="V32" s="143">
        <v>293</v>
      </c>
      <c r="W32" s="143">
        <v>278</v>
      </c>
      <c r="X32" s="143">
        <v>358</v>
      </c>
      <c r="Y32" s="143">
        <v>249</v>
      </c>
      <c r="Z32" s="143">
        <v>244</v>
      </c>
      <c r="AA32" s="143">
        <v>245</v>
      </c>
      <c r="AB32" s="143">
        <v>218</v>
      </c>
      <c r="AC32" s="143">
        <v>213</v>
      </c>
      <c r="AD32" s="143">
        <v>304</v>
      </c>
      <c r="AE32" s="143">
        <v>302</v>
      </c>
      <c r="AF32" s="143">
        <v>283</v>
      </c>
      <c r="AG32" s="143">
        <f>'[1]TEMP Summary'!$T$22</f>
        <v>0</v>
      </c>
      <c r="AH32" s="408">
        <f t="shared" ref="AH32:AH44" si="11">SUM(C32:AG32)</f>
        <v>7381</v>
      </c>
      <c r="AJ32" s="255">
        <f>AH32+AH39</f>
        <v>12922</v>
      </c>
      <c r="AK32" s="256" t="s">
        <v>75</v>
      </c>
    </row>
    <row r="33" spans="1:37" x14ac:dyDescent="0.25">
      <c r="A33" s="166"/>
      <c r="B33" s="142" t="s">
        <v>74</v>
      </c>
      <c r="C33" s="143">
        <v>44</v>
      </c>
      <c r="D33" s="143">
        <v>55</v>
      </c>
      <c r="E33" s="143">
        <v>50</v>
      </c>
      <c r="F33" s="143">
        <v>79</v>
      </c>
      <c r="G33" s="143">
        <v>49</v>
      </c>
      <c r="H33" s="143">
        <v>87</v>
      </c>
      <c r="I33" s="143">
        <v>52</v>
      </c>
      <c r="J33" s="143">
        <v>98</v>
      </c>
      <c r="K33" s="143">
        <v>73</v>
      </c>
      <c r="L33" s="143">
        <v>70</v>
      </c>
      <c r="M33" s="143">
        <v>107</v>
      </c>
      <c r="N33" s="143">
        <v>81</v>
      </c>
      <c r="O33" s="143">
        <v>109</v>
      </c>
      <c r="P33" s="143">
        <v>61</v>
      </c>
      <c r="Q33" s="143">
        <v>105</v>
      </c>
      <c r="R33" s="143">
        <v>96</v>
      </c>
      <c r="S33" s="143">
        <v>93</v>
      </c>
      <c r="T33" s="143">
        <v>87</v>
      </c>
      <c r="U33" s="143">
        <v>116</v>
      </c>
      <c r="V33" s="143">
        <v>106</v>
      </c>
      <c r="W33" s="143">
        <v>97</v>
      </c>
      <c r="X33" s="143">
        <v>106</v>
      </c>
      <c r="Y33" s="143">
        <v>83</v>
      </c>
      <c r="Z33" s="143">
        <v>84</v>
      </c>
      <c r="AA33" s="143">
        <v>98</v>
      </c>
      <c r="AB33" s="143">
        <v>74</v>
      </c>
      <c r="AC33" s="143">
        <v>79</v>
      </c>
      <c r="AD33" s="143">
        <v>87</v>
      </c>
      <c r="AE33" s="143">
        <v>95</v>
      </c>
      <c r="AF33" s="143">
        <v>104</v>
      </c>
      <c r="AG33" s="143">
        <f>'[1]TEMP Summary'!$T$22</f>
        <v>0</v>
      </c>
      <c r="AH33" s="407">
        <f t="shared" si="11"/>
        <v>2525</v>
      </c>
      <c r="AJ33" s="255">
        <f t="shared" ref="AJ33:AJ37" si="12">AH33+AH40</f>
        <v>4371</v>
      </c>
      <c r="AK33" s="256" t="s">
        <v>74</v>
      </c>
    </row>
    <row r="34" spans="1:37" x14ac:dyDescent="0.25">
      <c r="A34" s="166"/>
      <c r="B34" s="142" t="s">
        <v>199</v>
      </c>
      <c r="C34" s="143">
        <v>6</v>
      </c>
      <c r="D34" s="143">
        <v>5</v>
      </c>
      <c r="E34" s="143">
        <v>6</v>
      </c>
      <c r="F34" s="143">
        <v>5</v>
      </c>
      <c r="G34" s="143">
        <v>1</v>
      </c>
      <c r="H34" s="143">
        <f>'[1]TEMP Summary'!$T$22</f>
        <v>0</v>
      </c>
      <c r="I34" s="143">
        <v>10</v>
      </c>
      <c r="J34" s="143">
        <v>9</v>
      </c>
      <c r="K34" s="143">
        <v>12</v>
      </c>
      <c r="L34" s="143">
        <v>9</v>
      </c>
      <c r="M34" s="143">
        <v>7</v>
      </c>
      <c r="N34" s="143">
        <f>'[1]TEMP Summary'!$T$22</f>
        <v>0</v>
      </c>
      <c r="O34" s="143">
        <v>0</v>
      </c>
      <c r="P34" s="143">
        <v>6</v>
      </c>
      <c r="Q34" s="143">
        <v>17</v>
      </c>
      <c r="R34" s="143">
        <v>13</v>
      </c>
      <c r="S34" s="143">
        <v>13</v>
      </c>
      <c r="T34" s="143">
        <v>10</v>
      </c>
      <c r="U34" s="143">
        <f>'[1]TEMP Summary'!$T$22</f>
        <v>0</v>
      </c>
      <c r="V34" s="143">
        <v>2</v>
      </c>
      <c r="W34" s="143">
        <v>13</v>
      </c>
      <c r="X34" s="143">
        <v>18</v>
      </c>
      <c r="Y34" s="143">
        <v>13</v>
      </c>
      <c r="Z34" s="143">
        <v>6</v>
      </c>
      <c r="AA34" s="143">
        <v>11</v>
      </c>
      <c r="AB34" s="143">
        <v>8</v>
      </c>
      <c r="AC34" s="143">
        <v>4</v>
      </c>
      <c r="AD34" s="143">
        <v>7</v>
      </c>
      <c r="AE34" s="143">
        <v>14</v>
      </c>
      <c r="AF34" s="143">
        <v>21</v>
      </c>
      <c r="AG34" s="143">
        <f>'[1]TEMP Summary'!$T$22</f>
        <v>0</v>
      </c>
      <c r="AH34" s="407">
        <f t="shared" si="11"/>
        <v>246</v>
      </c>
      <c r="AJ34" s="255">
        <f t="shared" si="12"/>
        <v>406</v>
      </c>
      <c r="AK34" s="256" t="s">
        <v>200</v>
      </c>
    </row>
    <row r="35" spans="1:37" x14ac:dyDescent="0.25">
      <c r="A35" s="166"/>
      <c r="B35" s="142" t="s">
        <v>72</v>
      </c>
      <c r="C35" s="143">
        <f>'[1]TEMP Summary'!$T$22</f>
        <v>0</v>
      </c>
      <c r="D35" s="143">
        <f>'[1]TEMP Summary'!$T$22</f>
        <v>0</v>
      </c>
      <c r="E35" s="143"/>
      <c r="F35" s="143">
        <f>'[1]TEMP Summary'!$T$22</f>
        <v>0</v>
      </c>
      <c r="G35" s="143">
        <f>'[1]TEMP Summary'!$T$22</f>
        <v>0</v>
      </c>
      <c r="H35" s="143">
        <v>20</v>
      </c>
      <c r="I35" s="143">
        <f>'[1]TEMP Summary'!$T$22</f>
        <v>0</v>
      </c>
      <c r="J35" s="143">
        <f>'[1]TEMP Summary'!$T$22</f>
        <v>0</v>
      </c>
      <c r="K35" s="143">
        <f>'[1]TEMP Summary'!$T$22</f>
        <v>0</v>
      </c>
      <c r="L35" s="143">
        <f>'[1]TEMP Summary'!$T$22</f>
        <v>0</v>
      </c>
      <c r="M35" s="143">
        <v>19</v>
      </c>
      <c r="N35" s="143">
        <f>'[1]TEMP Summary'!$T$22</f>
        <v>0</v>
      </c>
      <c r="O35" s="143">
        <f>'[1]TEMP Summary'!$T$22</f>
        <v>0</v>
      </c>
      <c r="P35" s="143">
        <v>24</v>
      </c>
      <c r="Q35" s="143">
        <f>'[1]TEMP Summary'!$T$22</f>
        <v>0</v>
      </c>
      <c r="R35" s="143">
        <f>'[1]TEMP Summary'!$T$22</f>
        <v>0</v>
      </c>
      <c r="S35" s="143">
        <f>'[1]TEMP Summary'!$T$22</f>
        <v>0</v>
      </c>
      <c r="T35" s="143">
        <v>32</v>
      </c>
      <c r="U35" s="143">
        <f>'[1]TEMP Summary'!$T$22</f>
        <v>0</v>
      </c>
      <c r="V35" s="143">
        <f>'[1]TEMP Summary'!$T$22</f>
        <v>0</v>
      </c>
      <c r="W35" s="143">
        <f>'[1]TEMP Summary'!$T$22</f>
        <v>0</v>
      </c>
      <c r="X35" s="143">
        <f>'[1]TEMP Summary'!$T$22</f>
        <v>0</v>
      </c>
      <c r="Y35" s="143">
        <f>'[1]TEMP Summary'!$T$22</f>
        <v>0</v>
      </c>
      <c r="Z35" s="143">
        <f>'[1]TEMP Summary'!$T$22</f>
        <v>0</v>
      </c>
      <c r="AA35" s="143">
        <f>'[1]TEMP Summary'!$T$22</f>
        <v>0</v>
      </c>
      <c r="AB35" s="143">
        <f>'[1]TEMP Summary'!$T$22</f>
        <v>0</v>
      </c>
      <c r="AC35" s="143">
        <f>'[1]TEMP Summary'!$T$22</f>
        <v>0</v>
      </c>
      <c r="AD35" s="143">
        <f>'[1]TEMP Summary'!$T$22</f>
        <v>0</v>
      </c>
      <c r="AE35" s="143">
        <f>'[1]TEMP Summary'!$T$22</f>
        <v>0</v>
      </c>
      <c r="AF35" s="143">
        <f>'[1]TEMP Summary'!$T$22</f>
        <v>0</v>
      </c>
      <c r="AG35" s="143">
        <f>'[1]TEMP Summary'!$T$22</f>
        <v>0</v>
      </c>
      <c r="AH35" s="407">
        <f t="shared" si="11"/>
        <v>95</v>
      </c>
      <c r="AJ35" s="255">
        <f t="shared" si="12"/>
        <v>175</v>
      </c>
      <c r="AK35" s="256" t="s">
        <v>72</v>
      </c>
    </row>
    <row r="36" spans="1:37" x14ac:dyDescent="0.25">
      <c r="A36" s="166"/>
      <c r="B36" s="142" t="s">
        <v>73</v>
      </c>
      <c r="C36" s="143">
        <v>21</v>
      </c>
      <c r="D36" s="143">
        <v>45</v>
      </c>
      <c r="E36" s="143">
        <v>37</v>
      </c>
      <c r="F36" s="143">
        <v>47</v>
      </c>
      <c r="G36" s="143">
        <v>37</v>
      </c>
      <c r="H36" s="143">
        <v>50</v>
      </c>
      <c r="I36" s="143">
        <v>63</v>
      </c>
      <c r="J36" s="143">
        <v>59</v>
      </c>
      <c r="K36" s="143">
        <v>26</v>
      </c>
      <c r="L36" s="143">
        <v>61</v>
      </c>
      <c r="M36" s="143">
        <v>43</v>
      </c>
      <c r="N36" s="143">
        <v>81</v>
      </c>
      <c r="O36" s="143">
        <v>67</v>
      </c>
      <c r="P36" s="143">
        <v>45</v>
      </c>
      <c r="Q36" s="143">
        <v>70</v>
      </c>
      <c r="R36" s="143">
        <v>60</v>
      </c>
      <c r="S36" s="143">
        <v>54</v>
      </c>
      <c r="T36" s="143">
        <v>66</v>
      </c>
      <c r="U36" s="143">
        <v>54</v>
      </c>
      <c r="V36" s="143">
        <v>79</v>
      </c>
      <c r="W36" s="143">
        <v>70</v>
      </c>
      <c r="X36" s="143">
        <v>46</v>
      </c>
      <c r="Y36" s="143">
        <v>60</v>
      </c>
      <c r="Z36" s="143">
        <v>68</v>
      </c>
      <c r="AA36" s="143">
        <v>67</v>
      </c>
      <c r="AB36" s="143">
        <v>42</v>
      </c>
      <c r="AC36" s="143">
        <v>64</v>
      </c>
      <c r="AD36" s="143">
        <v>50</v>
      </c>
      <c r="AE36" s="143">
        <v>57</v>
      </c>
      <c r="AF36" s="143">
        <v>37</v>
      </c>
      <c r="AG36" s="143">
        <f>'[1]TEMP Summary'!$T$22</f>
        <v>0</v>
      </c>
      <c r="AH36" s="407">
        <f t="shared" si="11"/>
        <v>1626</v>
      </c>
      <c r="AJ36" s="255">
        <f t="shared" si="12"/>
        <v>2777</v>
      </c>
      <c r="AK36" s="256" t="s">
        <v>73</v>
      </c>
    </row>
    <row r="37" spans="1:37" x14ac:dyDescent="0.25">
      <c r="A37" s="166"/>
      <c r="B37" s="142" t="s">
        <v>71</v>
      </c>
      <c r="C37" s="143">
        <v>9</v>
      </c>
      <c r="D37" s="143">
        <v>5</v>
      </c>
      <c r="E37" s="143">
        <v>4</v>
      </c>
      <c r="F37" s="143">
        <v>7</v>
      </c>
      <c r="G37" s="143">
        <v>14</v>
      </c>
      <c r="H37" s="143">
        <v>16</v>
      </c>
      <c r="I37" s="143">
        <v>13</v>
      </c>
      <c r="J37" s="143">
        <v>17</v>
      </c>
      <c r="K37" s="143">
        <v>15</v>
      </c>
      <c r="L37" s="143">
        <v>11</v>
      </c>
      <c r="M37" s="143">
        <v>13</v>
      </c>
      <c r="N37" s="143">
        <v>27</v>
      </c>
      <c r="O37" s="143">
        <v>7</v>
      </c>
      <c r="P37" s="143">
        <v>8</v>
      </c>
      <c r="Q37" s="143">
        <v>9</v>
      </c>
      <c r="R37" s="143">
        <v>9</v>
      </c>
      <c r="S37" s="143">
        <v>12</v>
      </c>
      <c r="T37" s="143">
        <v>10</v>
      </c>
      <c r="U37" s="143">
        <v>10</v>
      </c>
      <c r="V37" s="143">
        <v>26</v>
      </c>
      <c r="W37" s="143">
        <v>11</v>
      </c>
      <c r="X37" s="143">
        <v>11</v>
      </c>
      <c r="Y37" s="143">
        <v>1</v>
      </c>
      <c r="Z37" s="143">
        <v>15</v>
      </c>
      <c r="AA37" s="143">
        <v>11</v>
      </c>
      <c r="AB37" s="143">
        <v>19</v>
      </c>
      <c r="AC37" s="143">
        <v>11</v>
      </c>
      <c r="AD37" s="143">
        <v>7</v>
      </c>
      <c r="AE37" s="143">
        <v>10</v>
      </c>
      <c r="AF37" s="143">
        <v>9</v>
      </c>
      <c r="AG37" s="143">
        <f>'[1]TEMP Summary'!$T$22</f>
        <v>0</v>
      </c>
      <c r="AH37" s="407">
        <f t="shared" si="11"/>
        <v>347</v>
      </c>
      <c r="AJ37" s="255">
        <f t="shared" si="12"/>
        <v>551</v>
      </c>
      <c r="AK37" s="256" t="s">
        <v>71</v>
      </c>
    </row>
    <row r="38" spans="1:37" ht="15.75" thickBot="1" x14ac:dyDescent="0.3">
      <c r="A38" s="166"/>
      <c r="B38" s="437" t="s">
        <v>183</v>
      </c>
      <c r="C38" s="438">
        <f t="shared" ref="C38:AG38" si="13">SUM(C32:C37)</f>
        <v>227</v>
      </c>
      <c r="D38" s="439">
        <f t="shared" si="13"/>
        <v>315</v>
      </c>
      <c r="E38" s="439">
        <f t="shared" si="13"/>
        <v>274</v>
      </c>
      <c r="F38" s="439">
        <f t="shared" si="13"/>
        <v>316</v>
      </c>
      <c r="G38" s="439">
        <f t="shared" si="13"/>
        <v>260</v>
      </c>
      <c r="H38" s="439">
        <f t="shared" si="13"/>
        <v>363</v>
      </c>
      <c r="I38" s="439">
        <f t="shared" si="13"/>
        <v>319</v>
      </c>
      <c r="J38" s="439">
        <f t="shared" si="13"/>
        <v>508</v>
      </c>
      <c r="K38" s="439">
        <f t="shared" si="13"/>
        <v>439</v>
      </c>
      <c r="L38" s="439">
        <f t="shared" si="13"/>
        <v>372</v>
      </c>
      <c r="M38" s="439">
        <f t="shared" si="13"/>
        <v>428</v>
      </c>
      <c r="N38" s="439">
        <f t="shared" si="13"/>
        <v>425</v>
      </c>
      <c r="O38" s="439">
        <f t="shared" si="13"/>
        <v>398</v>
      </c>
      <c r="P38" s="439">
        <f t="shared" si="13"/>
        <v>322</v>
      </c>
      <c r="Q38" s="439">
        <f t="shared" si="13"/>
        <v>575</v>
      </c>
      <c r="R38" s="439">
        <f t="shared" si="13"/>
        <v>460</v>
      </c>
      <c r="S38" s="439">
        <f t="shared" si="13"/>
        <v>403</v>
      </c>
      <c r="T38" s="439">
        <f t="shared" si="13"/>
        <v>504</v>
      </c>
      <c r="U38" s="439">
        <f t="shared" si="13"/>
        <v>424</v>
      </c>
      <c r="V38" s="439">
        <f t="shared" si="13"/>
        <v>506</v>
      </c>
      <c r="W38" s="439">
        <f t="shared" si="13"/>
        <v>469</v>
      </c>
      <c r="X38" s="439">
        <f t="shared" si="13"/>
        <v>539</v>
      </c>
      <c r="Y38" s="439">
        <f t="shared" si="13"/>
        <v>406</v>
      </c>
      <c r="Z38" s="439">
        <f t="shared" si="13"/>
        <v>417</v>
      </c>
      <c r="AA38" s="439">
        <f t="shared" si="13"/>
        <v>432</v>
      </c>
      <c r="AB38" s="439">
        <f t="shared" si="13"/>
        <v>361</v>
      </c>
      <c r="AC38" s="439">
        <f t="shared" si="13"/>
        <v>371</v>
      </c>
      <c r="AD38" s="439">
        <f t="shared" si="13"/>
        <v>455</v>
      </c>
      <c r="AE38" s="439">
        <f t="shared" si="13"/>
        <v>478</v>
      </c>
      <c r="AF38" s="439">
        <f t="shared" si="13"/>
        <v>454</v>
      </c>
      <c r="AG38" s="440">
        <f t="shared" si="13"/>
        <v>0</v>
      </c>
      <c r="AH38" s="406">
        <f>SUM(C38:AG38)</f>
        <v>12220</v>
      </c>
      <c r="AJ38" s="255"/>
      <c r="AK38" s="256"/>
    </row>
    <row r="39" spans="1:37" x14ac:dyDescent="0.25">
      <c r="A39" s="166"/>
      <c r="B39" s="405" t="s">
        <v>75</v>
      </c>
      <c r="C39" s="140">
        <f>325-C32</f>
        <v>178</v>
      </c>
      <c r="D39" s="140">
        <f>323-D32</f>
        <v>118</v>
      </c>
      <c r="E39" s="140">
        <f>280-E32</f>
        <v>103</v>
      </c>
      <c r="F39" s="140">
        <f>290-F32</f>
        <v>112</v>
      </c>
      <c r="G39" s="140">
        <f>298-G32</f>
        <v>139</v>
      </c>
      <c r="H39" s="140">
        <f>334-H32</f>
        <v>144</v>
      </c>
      <c r="I39" s="140">
        <f>320-I32</f>
        <v>139</v>
      </c>
      <c r="J39" s="140">
        <f>552-J32</f>
        <v>227</v>
      </c>
      <c r="K39" s="140">
        <f>507-K32</f>
        <v>194</v>
      </c>
      <c r="L39" s="140">
        <f>393-L32</f>
        <v>172</v>
      </c>
      <c r="M39" s="140">
        <f>396-M32</f>
        <v>157</v>
      </c>
      <c r="N39" s="140">
        <f>376-N32</f>
        <v>140</v>
      </c>
      <c r="O39" s="140">
        <f>369-O32</f>
        <v>154</v>
      </c>
      <c r="P39" s="140">
        <f>348-P32</f>
        <v>170</v>
      </c>
      <c r="Q39" s="140">
        <f>671-Q32</f>
        <v>297</v>
      </c>
      <c r="R39" s="140">
        <f>494-R32</f>
        <v>212</v>
      </c>
      <c r="S39" s="140">
        <f>428-S32</f>
        <v>197</v>
      </c>
      <c r="T39" s="140">
        <f>512-T32</f>
        <v>213</v>
      </c>
      <c r="U39" s="140">
        <f>473-U32</f>
        <v>229</v>
      </c>
      <c r="V39" s="140">
        <f>462-V32</f>
        <v>169</v>
      </c>
      <c r="W39" s="140">
        <f>469-W32</f>
        <v>191</v>
      </c>
      <c r="X39" s="140">
        <f>606-X32</f>
        <v>248</v>
      </c>
      <c r="Y39" s="140">
        <f>524-Y32</f>
        <v>275</v>
      </c>
      <c r="Z39" s="140">
        <f>416-Z32</f>
        <v>172</v>
      </c>
      <c r="AA39" s="140">
        <f>446-AA32</f>
        <v>201</v>
      </c>
      <c r="AB39" s="140">
        <f>424-AB32</f>
        <v>206</v>
      </c>
      <c r="AC39" s="140">
        <f>399-AC32</f>
        <v>186</v>
      </c>
      <c r="AD39" s="140">
        <f>483-AD32</f>
        <v>179</v>
      </c>
      <c r="AE39" s="140">
        <f>523-AE32</f>
        <v>221</v>
      </c>
      <c r="AF39" s="140">
        <f>481-AF32</f>
        <v>198</v>
      </c>
      <c r="AG39" s="141">
        <f>'[1]TEMP Summary'!$T$22</f>
        <v>0</v>
      </c>
      <c r="AH39" s="408">
        <f t="shared" si="11"/>
        <v>5541</v>
      </c>
      <c r="AJ39" s="255"/>
      <c r="AK39" s="256"/>
    </row>
    <row r="40" spans="1:37" x14ac:dyDescent="0.25">
      <c r="A40" s="166"/>
      <c r="B40" s="142" t="s">
        <v>74</v>
      </c>
      <c r="C40" s="143">
        <f>92-C33</f>
        <v>48</v>
      </c>
      <c r="D40" s="143">
        <f>88-D33</f>
        <v>33</v>
      </c>
      <c r="E40" s="143">
        <f>67-E33</f>
        <v>17</v>
      </c>
      <c r="F40" s="143">
        <f>114-F33</f>
        <v>35</v>
      </c>
      <c r="G40" s="143">
        <f>99-G33</f>
        <v>50</v>
      </c>
      <c r="H40" s="143">
        <f>136-H33</f>
        <v>49</v>
      </c>
      <c r="I40" s="143">
        <f>75-I33</f>
        <v>23</v>
      </c>
      <c r="J40" s="143">
        <f>150-J33</f>
        <v>52</v>
      </c>
      <c r="K40" s="143">
        <f>116-K33</f>
        <v>43</v>
      </c>
      <c r="L40" s="143">
        <f>115-L33</f>
        <v>45</v>
      </c>
      <c r="M40" s="143">
        <f>152-M33</f>
        <v>45</v>
      </c>
      <c r="N40" s="143">
        <f>141-N33</f>
        <v>60</v>
      </c>
      <c r="O40" s="143">
        <f>146-O33</f>
        <v>37</v>
      </c>
      <c r="P40" s="143">
        <f>117-P33</f>
        <v>56</v>
      </c>
      <c r="Q40" s="143">
        <f>204-Q33</f>
        <v>99</v>
      </c>
      <c r="R40" s="143">
        <f>178-R33</f>
        <v>82</v>
      </c>
      <c r="S40" s="143">
        <f>157-S33</f>
        <v>64</v>
      </c>
      <c r="T40" s="143">
        <f>155-T33</f>
        <v>68</v>
      </c>
      <c r="U40" s="143">
        <f>203-U33</f>
        <v>87</v>
      </c>
      <c r="V40" s="143">
        <f>179-V33</f>
        <v>73</v>
      </c>
      <c r="W40" s="143">
        <f>170-W33</f>
        <v>73</v>
      </c>
      <c r="X40" s="143">
        <f>178-X33</f>
        <v>72</v>
      </c>
      <c r="Y40" s="143">
        <f>167-Y33</f>
        <v>84</v>
      </c>
      <c r="Z40" s="143">
        <f>161-Z33</f>
        <v>77</v>
      </c>
      <c r="AA40" s="143">
        <f>197-AA33</f>
        <v>99</v>
      </c>
      <c r="AB40" s="143">
        <f>174-AB33</f>
        <v>100</v>
      </c>
      <c r="AC40" s="143">
        <f>147-AC33</f>
        <v>68</v>
      </c>
      <c r="AD40" s="143">
        <f>146-AD33</f>
        <v>59</v>
      </c>
      <c r="AE40" s="143">
        <f>173-AE33</f>
        <v>78</v>
      </c>
      <c r="AF40" s="143">
        <f>174-AF33</f>
        <v>70</v>
      </c>
      <c r="AG40" s="144">
        <f>'[1]TEMP Summary'!$T$22</f>
        <v>0</v>
      </c>
      <c r="AH40" s="407">
        <f t="shared" si="11"/>
        <v>1846</v>
      </c>
      <c r="AJ40" s="255"/>
      <c r="AK40" s="256"/>
    </row>
    <row r="41" spans="1:37" x14ac:dyDescent="0.25">
      <c r="A41" s="166"/>
      <c r="B41" s="142" t="s">
        <v>199</v>
      </c>
      <c r="C41" s="143">
        <f>11-C34</f>
        <v>5</v>
      </c>
      <c r="D41" s="143">
        <f>9-D34</f>
        <v>4</v>
      </c>
      <c r="E41" s="143">
        <f>7-E34</f>
        <v>1</v>
      </c>
      <c r="F41" s="143">
        <f>7-F34</f>
        <v>2</v>
      </c>
      <c r="G41" s="143">
        <f>6-G34</f>
        <v>5</v>
      </c>
      <c r="H41" s="143">
        <v>7</v>
      </c>
      <c r="I41" s="143">
        <f>14-I34</f>
        <v>4</v>
      </c>
      <c r="J41" s="143">
        <f>13-J34</f>
        <v>4</v>
      </c>
      <c r="K41" s="143">
        <f>17-K34</f>
        <v>5</v>
      </c>
      <c r="L41" s="143">
        <f>17-L34</f>
        <v>8</v>
      </c>
      <c r="M41" s="143">
        <f>9-M34</f>
        <v>2</v>
      </c>
      <c r="N41" s="143">
        <f>5-N34</f>
        <v>5</v>
      </c>
      <c r="O41" s="143">
        <v>3</v>
      </c>
      <c r="P41" s="143">
        <f>17-P34</f>
        <v>11</v>
      </c>
      <c r="Q41" s="143">
        <f>27-Q34</f>
        <v>10</v>
      </c>
      <c r="R41" s="143">
        <f>26-R34</f>
        <v>13</v>
      </c>
      <c r="S41" s="143">
        <f>18-S34</f>
        <v>5</v>
      </c>
      <c r="T41" s="143">
        <f>15-T34</f>
        <v>5</v>
      </c>
      <c r="U41" s="143">
        <v>2</v>
      </c>
      <c r="V41" s="143">
        <f>5-V34</f>
        <v>3</v>
      </c>
      <c r="W41" s="143">
        <f>19-W34</f>
        <v>6</v>
      </c>
      <c r="X41" s="143">
        <f>18-X34</f>
        <v>0</v>
      </c>
      <c r="Y41" s="143">
        <f>23-Y34</f>
        <v>10</v>
      </c>
      <c r="Z41" s="143">
        <f>10-Z34</f>
        <v>4</v>
      </c>
      <c r="AA41" s="143">
        <f>14-AA34</f>
        <v>3</v>
      </c>
      <c r="AB41" s="143">
        <f>14-AB34</f>
        <v>6</v>
      </c>
      <c r="AC41" s="143">
        <f>9-AC34</f>
        <v>5</v>
      </c>
      <c r="AD41" s="143">
        <f>11-AD34</f>
        <v>4</v>
      </c>
      <c r="AE41" s="143">
        <f>23-AE34</f>
        <v>9</v>
      </c>
      <c r="AF41" s="143">
        <f>30-AF34</f>
        <v>9</v>
      </c>
      <c r="AG41" s="144">
        <f>'[1]TEMP Summary'!$T$22</f>
        <v>0</v>
      </c>
      <c r="AH41" s="407">
        <f t="shared" si="11"/>
        <v>160</v>
      </c>
      <c r="AJ41" s="255"/>
      <c r="AK41" s="256"/>
    </row>
    <row r="42" spans="1:37" x14ac:dyDescent="0.25">
      <c r="A42" s="166"/>
      <c r="B42" s="142" t="s">
        <v>72</v>
      </c>
      <c r="C42" s="143">
        <f>'[1]TEMP Summary'!$T$22</f>
        <v>0</v>
      </c>
      <c r="D42" s="143">
        <f>'[1]TEMP Summary'!$T$22</f>
        <v>0</v>
      </c>
      <c r="E42" s="143">
        <f>'[1]TEMP Summary'!$T$22</f>
        <v>0</v>
      </c>
      <c r="F42" s="143">
        <f>'[1]TEMP Summary'!$T$22</f>
        <v>0</v>
      </c>
      <c r="G42" s="143">
        <f>'[1]TEMP Summary'!$T$22</f>
        <v>0</v>
      </c>
      <c r="H42" s="143">
        <v>0</v>
      </c>
      <c r="I42" s="143">
        <f>'[1]TEMP Summary'!$T$22</f>
        <v>0</v>
      </c>
      <c r="J42" s="143">
        <f>'[1]TEMP Summary'!$T$22</f>
        <v>0</v>
      </c>
      <c r="K42" s="143">
        <f>'[1]TEMP Summary'!$T$22</f>
        <v>0</v>
      </c>
      <c r="L42" s="143">
        <f>'[1]TEMP Summary'!$T$22</f>
        <v>0</v>
      </c>
      <c r="M42" s="143">
        <f>'[1]TEMP Summary'!$T$22</f>
        <v>0</v>
      </c>
      <c r="N42" s="143">
        <v>0</v>
      </c>
      <c r="O42" s="143">
        <v>29</v>
      </c>
      <c r="P42" s="143">
        <f>'[1]TEMP Summary'!$T$22</f>
        <v>0</v>
      </c>
      <c r="Q42" s="143">
        <f>'[1]TEMP Summary'!$T$22</f>
        <v>0</v>
      </c>
      <c r="R42" s="143">
        <f>'[1]TEMP Summary'!$T$22</f>
        <v>0</v>
      </c>
      <c r="S42" s="143">
        <f>'[1]TEMP Summary'!$T$22</f>
        <v>0</v>
      </c>
      <c r="T42" s="143">
        <f>'[1]TEMP Summary'!$T$22</f>
        <v>0</v>
      </c>
      <c r="U42" s="143">
        <f>'[1]TEMP Summary'!$T$22</f>
        <v>0</v>
      </c>
      <c r="V42" s="143">
        <f>'[1]TEMP Summary'!$T$22</f>
        <v>0</v>
      </c>
      <c r="W42" s="143">
        <v>15</v>
      </c>
      <c r="X42" s="143">
        <f>'[1]TEMP Summary'!$T$22</f>
        <v>0</v>
      </c>
      <c r="Y42" s="143">
        <f>'[1]TEMP Summary'!$T$22</f>
        <v>0</v>
      </c>
      <c r="Z42" s="143">
        <f>'[1]TEMP Summary'!$T$22</f>
        <v>0</v>
      </c>
      <c r="AA42" s="143">
        <f>'[1]TEMP Summary'!$T$22</f>
        <v>0</v>
      </c>
      <c r="AB42" s="143">
        <v>21</v>
      </c>
      <c r="AC42" s="143">
        <f>'[1]TEMP Summary'!$T$22</f>
        <v>0</v>
      </c>
      <c r="AD42" s="143">
        <f>'[1]TEMP Summary'!$T$22</f>
        <v>0</v>
      </c>
      <c r="AE42" s="143">
        <f>15-AE35</f>
        <v>15</v>
      </c>
      <c r="AF42" s="143">
        <f>'[1]TEMP Summary'!$T$22</f>
        <v>0</v>
      </c>
      <c r="AG42" s="144">
        <f>'[1]TEMP Summary'!$T$22</f>
        <v>0</v>
      </c>
      <c r="AH42" s="407">
        <f t="shared" si="11"/>
        <v>80</v>
      </c>
      <c r="AJ42" s="255"/>
      <c r="AK42" s="256"/>
    </row>
    <row r="43" spans="1:37" x14ac:dyDescent="0.25">
      <c r="A43" s="166"/>
      <c r="B43" s="142" t="s">
        <v>73</v>
      </c>
      <c r="C43" s="143">
        <f>59-C36</f>
        <v>38</v>
      </c>
      <c r="D43" s="143">
        <f>77-D36</f>
        <v>32</v>
      </c>
      <c r="E43" s="143">
        <f>68-E36</f>
        <v>31</v>
      </c>
      <c r="F43" s="143">
        <f>73-F36</f>
        <v>26</v>
      </c>
      <c r="G43" s="143">
        <f>68-G36</f>
        <v>31</v>
      </c>
      <c r="H43" s="143">
        <f>92-H36</f>
        <v>42</v>
      </c>
      <c r="I43" s="143">
        <f>95-I36</f>
        <v>32</v>
      </c>
      <c r="J43" s="143">
        <f>82-J36</f>
        <v>23</v>
      </c>
      <c r="K43" s="143">
        <f>52-K36</f>
        <v>26</v>
      </c>
      <c r="L43" s="143">
        <f>94-L36</f>
        <v>33</v>
      </c>
      <c r="M43" s="143">
        <f>82-M36</f>
        <v>39</v>
      </c>
      <c r="N43" s="143">
        <f>127-N36</f>
        <v>46</v>
      </c>
      <c r="O43" s="143">
        <f>102-O36</f>
        <v>35</v>
      </c>
      <c r="P43" s="143">
        <f>75-P36</f>
        <v>30</v>
      </c>
      <c r="Q43" s="143">
        <f>118-Q36</f>
        <v>48</v>
      </c>
      <c r="R43" s="143">
        <f>103-R36</f>
        <v>43</v>
      </c>
      <c r="S43" s="143">
        <f>99-S36</f>
        <v>45</v>
      </c>
      <c r="T43" s="143">
        <f>106-T36</f>
        <v>40</v>
      </c>
      <c r="U43" s="143">
        <f>94-U36</f>
        <v>40</v>
      </c>
      <c r="V43" s="143">
        <f>115-V36</f>
        <v>36</v>
      </c>
      <c r="W43" s="143">
        <f>122-W36</f>
        <v>52</v>
      </c>
      <c r="X43" s="143">
        <f>95-X36</f>
        <v>49</v>
      </c>
      <c r="Y43" s="143">
        <f>117-Y36</f>
        <v>57</v>
      </c>
      <c r="Z43" s="143">
        <f>107-Z36</f>
        <v>39</v>
      </c>
      <c r="AA43" s="143">
        <f>94-AA36</f>
        <v>27</v>
      </c>
      <c r="AB43" s="143">
        <f>106-AB36</f>
        <v>64</v>
      </c>
      <c r="AC43" s="143">
        <f>98-AC36</f>
        <v>34</v>
      </c>
      <c r="AD43" s="143">
        <f>100-AD36</f>
        <v>50</v>
      </c>
      <c r="AE43" s="143">
        <f>92-AE36</f>
        <v>35</v>
      </c>
      <c r="AF43" s="143">
        <f>65-AF36</f>
        <v>28</v>
      </c>
      <c r="AG43" s="144">
        <f>'[1]TEMP Summary'!$T$22</f>
        <v>0</v>
      </c>
      <c r="AH43" s="407">
        <f t="shared" si="11"/>
        <v>1151</v>
      </c>
      <c r="AJ43" s="255"/>
      <c r="AK43" s="256"/>
    </row>
    <row r="44" spans="1:37" x14ac:dyDescent="0.25">
      <c r="A44" s="166"/>
      <c r="B44" s="142" t="s">
        <v>71</v>
      </c>
      <c r="C44" s="143">
        <f>19-C37</f>
        <v>10</v>
      </c>
      <c r="D44" s="143">
        <f>10-D37</f>
        <v>5</v>
      </c>
      <c r="E44" s="143">
        <f>7-E37</f>
        <v>3</v>
      </c>
      <c r="F44" s="143">
        <f>19-F37</f>
        <v>12</v>
      </c>
      <c r="G44" s="143">
        <f>24-G37</f>
        <v>10</v>
      </c>
      <c r="H44" s="143">
        <f>25-H37</f>
        <v>9</v>
      </c>
      <c r="I44" s="143">
        <f>18-I37</f>
        <v>5</v>
      </c>
      <c r="J44" s="143">
        <f>19-J37</f>
        <v>2</v>
      </c>
      <c r="K44" s="143">
        <f>25-K37</f>
        <v>10</v>
      </c>
      <c r="L44" s="143">
        <f>12-L37</f>
        <v>1</v>
      </c>
      <c r="M44" s="143">
        <f>17-M37</f>
        <v>4</v>
      </c>
      <c r="N44" s="143">
        <f>30-N37</f>
        <v>3</v>
      </c>
      <c r="O44" s="143">
        <f>13-O37</f>
        <v>6</v>
      </c>
      <c r="P44" s="143">
        <f>13-P37</f>
        <v>5</v>
      </c>
      <c r="Q44" s="143">
        <f>21-Q37</f>
        <v>12</v>
      </c>
      <c r="R44" s="143">
        <f>16-R37</f>
        <v>7</v>
      </c>
      <c r="S44" s="143">
        <f>21-S37</f>
        <v>9</v>
      </c>
      <c r="T44" s="143">
        <f>19-T37</f>
        <v>9</v>
      </c>
      <c r="U44" s="143">
        <f>16-U37</f>
        <v>6</v>
      </c>
      <c r="V44" s="143">
        <f>37-V37</f>
        <v>11</v>
      </c>
      <c r="W44" s="143">
        <f>15-W37</f>
        <v>4</v>
      </c>
      <c r="X44" s="143">
        <f>20-X37</f>
        <v>9</v>
      </c>
      <c r="Y44" s="143">
        <f>15-Y37</f>
        <v>14</v>
      </c>
      <c r="Z44" s="143">
        <f>15-Z37</f>
        <v>0</v>
      </c>
      <c r="AA44" s="143">
        <f>19-AA37</f>
        <v>8</v>
      </c>
      <c r="AB44" s="143">
        <f>27-AB37</f>
        <v>8</v>
      </c>
      <c r="AC44" s="143">
        <f>19-AC37</f>
        <v>8</v>
      </c>
      <c r="AD44" s="143">
        <f>9-AD37</f>
        <v>2</v>
      </c>
      <c r="AE44" s="143">
        <f>14-AE37</f>
        <v>4</v>
      </c>
      <c r="AF44" s="143">
        <f>17-AF37</f>
        <v>8</v>
      </c>
      <c r="AG44" s="144">
        <f>'[1]TEMP Summary'!$T$22</f>
        <v>0</v>
      </c>
      <c r="AH44" s="407">
        <f t="shared" si="11"/>
        <v>204</v>
      </c>
      <c r="AJ44" s="255"/>
      <c r="AK44" s="257"/>
    </row>
    <row r="45" spans="1:37" x14ac:dyDescent="0.25">
      <c r="A45" s="166"/>
      <c r="B45" s="441" t="s">
        <v>182</v>
      </c>
      <c r="C45" s="438">
        <f t="shared" ref="C45:AG45" si="14">SUM(C39:C44)</f>
        <v>279</v>
      </c>
      <c r="D45" s="438">
        <f t="shared" si="14"/>
        <v>192</v>
      </c>
      <c r="E45" s="438">
        <f t="shared" si="14"/>
        <v>155</v>
      </c>
      <c r="F45" s="438">
        <f t="shared" si="14"/>
        <v>187</v>
      </c>
      <c r="G45" s="438">
        <f t="shared" si="14"/>
        <v>235</v>
      </c>
      <c r="H45" s="438">
        <f t="shared" si="14"/>
        <v>251</v>
      </c>
      <c r="I45" s="438">
        <f t="shared" si="14"/>
        <v>203</v>
      </c>
      <c r="J45" s="438">
        <f t="shared" si="14"/>
        <v>308</v>
      </c>
      <c r="K45" s="438">
        <f t="shared" si="14"/>
        <v>278</v>
      </c>
      <c r="L45" s="438">
        <f t="shared" si="14"/>
        <v>259</v>
      </c>
      <c r="M45" s="438">
        <f t="shared" si="14"/>
        <v>247</v>
      </c>
      <c r="N45" s="438">
        <f t="shared" si="14"/>
        <v>254</v>
      </c>
      <c r="O45" s="438">
        <f t="shared" si="14"/>
        <v>264</v>
      </c>
      <c r="P45" s="438">
        <f t="shared" si="14"/>
        <v>272</v>
      </c>
      <c r="Q45" s="438">
        <f t="shared" si="14"/>
        <v>466</v>
      </c>
      <c r="R45" s="438">
        <f t="shared" si="14"/>
        <v>357</v>
      </c>
      <c r="S45" s="438">
        <f t="shared" si="14"/>
        <v>320</v>
      </c>
      <c r="T45" s="438">
        <f t="shared" si="14"/>
        <v>335</v>
      </c>
      <c r="U45" s="438">
        <f t="shared" si="14"/>
        <v>364</v>
      </c>
      <c r="V45" s="438">
        <f t="shared" si="14"/>
        <v>292</v>
      </c>
      <c r="W45" s="438">
        <f t="shared" si="14"/>
        <v>341</v>
      </c>
      <c r="X45" s="438">
        <f t="shared" si="14"/>
        <v>378</v>
      </c>
      <c r="Y45" s="438">
        <f t="shared" si="14"/>
        <v>440</v>
      </c>
      <c r="Z45" s="438">
        <f t="shared" si="14"/>
        <v>292</v>
      </c>
      <c r="AA45" s="438">
        <f t="shared" si="14"/>
        <v>338</v>
      </c>
      <c r="AB45" s="438">
        <f t="shared" si="14"/>
        <v>405</v>
      </c>
      <c r="AC45" s="438">
        <f t="shared" si="14"/>
        <v>301</v>
      </c>
      <c r="AD45" s="438">
        <f t="shared" si="14"/>
        <v>294</v>
      </c>
      <c r="AE45" s="438">
        <f t="shared" si="14"/>
        <v>362</v>
      </c>
      <c r="AF45" s="438">
        <f t="shared" si="14"/>
        <v>313</v>
      </c>
      <c r="AG45" s="440">
        <f t="shared" si="14"/>
        <v>0</v>
      </c>
      <c r="AH45" s="528">
        <f>SUM(C45:AG45)</f>
        <v>8982</v>
      </c>
      <c r="AJ45" s="404"/>
      <c r="AK45" s="403"/>
    </row>
    <row r="46" spans="1:37" s="168" customFormat="1" ht="15.75" thickBot="1" x14ac:dyDescent="0.3">
      <c r="A46" s="167"/>
      <c r="B46" s="145" t="s">
        <v>76</v>
      </c>
      <c r="C46" s="146">
        <f t="shared" ref="C46:AG46" si="15">SUM(C32:C37,C39:C44)</f>
        <v>506</v>
      </c>
      <c r="D46" s="146">
        <f t="shared" si="15"/>
        <v>507</v>
      </c>
      <c r="E46" s="146">
        <f t="shared" si="15"/>
        <v>429</v>
      </c>
      <c r="F46" s="146">
        <f t="shared" si="15"/>
        <v>503</v>
      </c>
      <c r="G46" s="146">
        <f t="shared" si="15"/>
        <v>495</v>
      </c>
      <c r="H46" s="146">
        <f t="shared" si="15"/>
        <v>614</v>
      </c>
      <c r="I46" s="146">
        <f t="shared" si="15"/>
        <v>522</v>
      </c>
      <c r="J46" s="146">
        <f t="shared" si="15"/>
        <v>816</v>
      </c>
      <c r="K46" s="146">
        <f t="shared" si="15"/>
        <v>717</v>
      </c>
      <c r="L46" s="146">
        <f t="shared" si="15"/>
        <v>631</v>
      </c>
      <c r="M46" s="146">
        <f t="shared" si="15"/>
        <v>675</v>
      </c>
      <c r="N46" s="146">
        <f t="shared" si="15"/>
        <v>679</v>
      </c>
      <c r="O46" s="146">
        <f t="shared" si="15"/>
        <v>662</v>
      </c>
      <c r="P46" s="146">
        <f t="shared" si="15"/>
        <v>594</v>
      </c>
      <c r="Q46" s="146">
        <f t="shared" si="15"/>
        <v>1041</v>
      </c>
      <c r="R46" s="146">
        <f t="shared" si="15"/>
        <v>817</v>
      </c>
      <c r="S46" s="146">
        <f t="shared" si="15"/>
        <v>723</v>
      </c>
      <c r="T46" s="146">
        <f t="shared" si="15"/>
        <v>839</v>
      </c>
      <c r="U46" s="146">
        <f t="shared" si="15"/>
        <v>788</v>
      </c>
      <c r="V46" s="146">
        <f t="shared" si="15"/>
        <v>798</v>
      </c>
      <c r="W46" s="146">
        <f t="shared" si="15"/>
        <v>810</v>
      </c>
      <c r="X46" s="146">
        <f t="shared" si="15"/>
        <v>917</v>
      </c>
      <c r="Y46" s="146">
        <f t="shared" si="15"/>
        <v>846</v>
      </c>
      <c r="Z46" s="146">
        <f t="shared" si="15"/>
        <v>709</v>
      </c>
      <c r="AA46" s="146">
        <f>SUM(AA32:AA37,AA39:AA44)</f>
        <v>770</v>
      </c>
      <c r="AB46" s="146">
        <f t="shared" si="15"/>
        <v>766</v>
      </c>
      <c r="AC46" s="146">
        <f t="shared" si="15"/>
        <v>672</v>
      </c>
      <c r="AD46" s="146">
        <f t="shared" si="15"/>
        <v>749</v>
      </c>
      <c r="AE46" s="146">
        <f t="shared" si="15"/>
        <v>840</v>
      </c>
      <c r="AF46" s="146">
        <f t="shared" si="15"/>
        <v>767</v>
      </c>
      <c r="AG46" s="260">
        <f t="shared" si="15"/>
        <v>0</v>
      </c>
      <c r="AH46" s="529">
        <f>SUM(AH32:AH37,AH39:AH44)</f>
        <v>21202</v>
      </c>
      <c r="AJ46" s="258">
        <f>AH46</f>
        <v>21202</v>
      </c>
      <c r="AK46" s="259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">
    <cfRule type="cellIs" dxfId="5" priority="1" operator="notEqual">
      <formula>0</formula>
    </cfRule>
  </conditionalFormatting>
  <conditionalFormatting sqref="C26:AG28">
    <cfRule type="cellIs" dxfId="4" priority="2" operator="notEqual">
      <formula>0</formula>
    </cfRule>
  </conditionalFormatting>
  <pageMargins left="0.25" right="0.25" top="0.75" bottom="0.75" header="0.3" footer="0.3"/>
  <pageSetup paperSize="17" scale="63" fitToHeight="4" orientation="landscape" horizontalDpi="300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6"/>
  <sheetViews>
    <sheetView workbookViewId="0">
      <pane xSplit="2" ySplit="2" topLeftCell="T3" activePane="bottomRight" state="frozen"/>
      <selection pane="topRight" activeCell="C1" sqref="C1"/>
      <selection pane="bottomLeft" activeCell="A3" sqref="A3"/>
      <selection pane="bottomRight" activeCell="V23" sqref="V23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68" t="s">
        <v>209</v>
      </c>
      <c r="B1" s="376" t="str">
        <f>'Cash Flow'!C1</f>
        <v>June</v>
      </c>
      <c r="C1" s="226" t="str">
        <f t="array" ref="C1:AG1">TRANSPOSE('Cash Flow'!B8:B38)</f>
        <v>Sat</v>
      </c>
      <c r="D1" s="226" t="str">
        <v>Sun</v>
      </c>
      <c r="E1" s="226" t="str">
        <v>Mon</v>
      </c>
      <c r="F1" s="226" t="str">
        <v>Tue</v>
      </c>
      <c r="G1" s="226" t="str">
        <v>Wed</v>
      </c>
      <c r="H1" s="226" t="str">
        <v>Thu</v>
      </c>
      <c r="I1" s="226" t="str">
        <v>Fri</v>
      </c>
      <c r="J1" s="226" t="str">
        <v>Sat</v>
      </c>
      <c r="K1" s="226" t="str">
        <v>Sun</v>
      </c>
      <c r="L1" s="226" t="str">
        <v>Mon</v>
      </c>
      <c r="M1" s="226" t="str">
        <v>Tue</v>
      </c>
      <c r="N1" s="226" t="str">
        <v>Wed</v>
      </c>
      <c r="O1" s="226" t="str">
        <v>Thu</v>
      </c>
      <c r="P1" s="226" t="str">
        <v>Fri</v>
      </c>
      <c r="Q1" s="226" t="str">
        <v>Sat</v>
      </c>
      <c r="R1" s="226" t="str">
        <v>Sun</v>
      </c>
      <c r="S1" s="226" t="str">
        <v>Mon</v>
      </c>
      <c r="T1" s="226" t="str">
        <v>Tue</v>
      </c>
      <c r="U1" s="226" t="str">
        <v>Wed</v>
      </c>
      <c r="V1" s="226" t="str">
        <v>Thu</v>
      </c>
      <c r="W1" s="226" t="str">
        <v>Fri</v>
      </c>
      <c r="X1" s="226" t="str">
        <v>Sat</v>
      </c>
      <c r="Y1" s="226" t="str">
        <v>Sun</v>
      </c>
      <c r="Z1" s="226" t="str">
        <v>Mon</v>
      </c>
      <c r="AA1" s="226" t="str">
        <v>Tue</v>
      </c>
      <c r="AB1" s="226" t="str">
        <v>Wed</v>
      </c>
      <c r="AC1" s="226" t="str">
        <v>Thu</v>
      </c>
      <c r="AD1" s="226" t="str">
        <v>Fri</v>
      </c>
      <c r="AE1" s="226" t="str">
        <v>Sat</v>
      </c>
      <c r="AF1" s="226" t="str">
        <v>Sun</v>
      </c>
      <c r="AG1" s="226" t="str">
        <v>Mon</v>
      </c>
    </row>
    <row r="2" spans="1:40" s="60" customFormat="1" ht="16.5" thickBot="1" x14ac:dyDescent="0.3">
      <c r="A2" s="63" t="s">
        <v>66</v>
      </c>
      <c r="B2" s="64" t="s">
        <v>128</v>
      </c>
      <c r="C2" s="106">
        <f>'Cash Flow'!A8</f>
        <v>45444</v>
      </c>
      <c r="D2" s="106">
        <f>C2+1</f>
        <v>45445</v>
      </c>
      <c r="E2" s="106">
        <f>D2+1</f>
        <v>45446</v>
      </c>
      <c r="F2" s="106">
        <f t="shared" ref="F2:AG2" si="0">E2+1</f>
        <v>45447</v>
      </c>
      <c r="G2" s="106">
        <f t="shared" si="0"/>
        <v>45448</v>
      </c>
      <c r="H2" s="106">
        <f t="shared" si="0"/>
        <v>45449</v>
      </c>
      <c r="I2" s="106">
        <f t="shared" si="0"/>
        <v>45450</v>
      </c>
      <c r="J2" s="106">
        <f t="shared" si="0"/>
        <v>45451</v>
      </c>
      <c r="K2" s="106">
        <f t="shared" si="0"/>
        <v>45452</v>
      </c>
      <c r="L2" s="106">
        <f t="shared" si="0"/>
        <v>45453</v>
      </c>
      <c r="M2" s="106">
        <f t="shared" si="0"/>
        <v>45454</v>
      </c>
      <c r="N2" s="106">
        <f t="shared" si="0"/>
        <v>45455</v>
      </c>
      <c r="O2" s="106">
        <f t="shared" si="0"/>
        <v>45456</v>
      </c>
      <c r="P2" s="106">
        <f t="shared" si="0"/>
        <v>45457</v>
      </c>
      <c r="Q2" s="106">
        <f t="shared" si="0"/>
        <v>45458</v>
      </c>
      <c r="R2" s="106">
        <f t="shared" si="0"/>
        <v>45459</v>
      </c>
      <c r="S2" s="106">
        <f t="shared" si="0"/>
        <v>45460</v>
      </c>
      <c r="T2" s="106">
        <f t="shared" si="0"/>
        <v>45461</v>
      </c>
      <c r="U2" s="106">
        <f t="shared" si="0"/>
        <v>45462</v>
      </c>
      <c r="V2" s="106">
        <f t="shared" si="0"/>
        <v>45463</v>
      </c>
      <c r="W2" s="106">
        <f t="shared" si="0"/>
        <v>45464</v>
      </c>
      <c r="X2" s="106">
        <f t="shared" si="0"/>
        <v>45465</v>
      </c>
      <c r="Y2" s="106">
        <f t="shared" si="0"/>
        <v>45466</v>
      </c>
      <c r="Z2" s="106">
        <f t="shared" si="0"/>
        <v>45467</v>
      </c>
      <c r="AA2" s="106">
        <f t="shared" si="0"/>
        <v>45468</v>
      </c>
      <c r="AB2" s="106">
        <f t="shared" si="0"/>
        <v>45469</v>
      </c>
      <c r="AC2" s="106">
        <f t="shared" si="0"/>
        <v>45470</v>
      </c>
      <c r="AD2" s="106">
        <f t="shared" si="0"/>
        <v>45471</v>
      </c>
      <c r="AE2" s="106">
        <f t="shared" si="0"/>
        <v>45472</v>
      </c>
      <c r="AF2" s="106">
        <f t="shared" si="0"/>
        <v>45473</v>
      </c>
      <c r="AG2" s="106">
        <f t="shared" si="0"/>
        <v>45474</v>
      </c>
      <c r="AH2" s="65" t="s">
        <v>59</v>
      </c>
      <c r="AI2" s="62"/>
      <c r="AJ2" s="63" t="s">
        <v>66</v>
      </c>
      <c r="AK2" s="64" t="s">
        <v>128</v>
      </c>
    </row>
    <row r="3" spans="1:40" x14ac:dyDescent="0.25">
      <c r="A3" s="66" t="s">
        <v>61</v>
      </c>
      <c r="B3" s="67" t="s">
        <v>62</v>
      </c>
      <c r="C3" s="68">
        <v>13.32</v>
      </c>
      <c r="D3" s="183">
        <v>15.5</v>
      </c>
      <c r="E3" s="183">
        <v>10.47</v>
      </c>
      <c r="F3" s="183">
        <v>13.18</v>
      </c>
      <c r="G3" s="183">
        <v>6.73</v>
      </c>
      <c r="H3" s="183"/>
      <c r="I3" s="183">
        <v>14.04</v>
      </c>
      <c r="J3" s="183">
        <v>12.76</v>
      </c>
      <c r="K3" s="183">
        <v>8.4600000000000009</v>
      </c>
      <c r="L3" s="183">
        <v>11.66</v>
      </c>
      <c r="M3" s="183">
        <v>5.3</v>
      </c>
      <c r="N3" s="183">
        <v>8.0299999999999994</v>
      </c>
      <c r="O3" s="183">
        <v>7.32</v>
      </c>
      <c r="P3" s="183">
        <v>17.66</v>
      </c>
      <c r="Q3" s="183">
        <v>9.34</v>
      </c>
      <c r="R3" s="183">
        <v>15.64</v>
      </c>
      <c r="S3" s="183">
        <v>17.34</v>
      </c>
      <c r="T3" s="183">
        <v>11.08</v>
      </c>
      <c r="U3" s="183">
        <v>16.190000000000001</v>
      </c>
      <c r="V3" s="183">
        <v>9.52</v>
      </c>
      <c r="W3" s="183">
        <v>2.93</v>
      </c>
      <c r="X3" s="183">
        <v>9.34</v>
      </c>
      <c r="Y3" s="183">
        <v>3.97</v>
      </c>
      <c r="Z3" s="183">
        <v>7.52</v>
      </c>
      <c r="AA3" s="183">
        <v>3.49</v>
      </c>
      <c r="AB3" s="183">
        <v>6.67</v>
      </c>
      <c r="AC3" s="183">
        <v>12.78</v>
      </c>
      <c r="AD3" s="183">
        <v>7.32</v>
      </c>
      <c r="AE3" s="183">
        <v>5.27</v>
      </c>
      <c r="AF3" s="183">
        <v>4.07</v>
      </c>
      <c r="AG3" s="183"/>
      <c r="AH3" s="108">
        <f>SUM(C3:AG3)</f>
        <v>286.90000000000003</v>
      </c>
      <c r="AJ3" s="66" t="s">
        <v>61</v>
      </c>
      <c r="AK3" s="67" t="s">
        <v>62</v>
      </c>
      <c r="AL3" s="208"/>
      <c r="AM3" s="208"/>
    </row>
    <row r="4" spans="1:40" x14ac:dyDescent="0.25">
      <c r="A4" s="69" t="s">
        <v>210</v>
      </c>
      <c r="B4" s="70" t="s">
        <v>211</v>
      </c>
      <c r="C4" s="71">
        <v>140.99</v>
      </c>
      <c r="D4" s="72">
        <v>163.97</v>
      </c>
      <c r="E4" s="71">
        <v>110.49</v>
      </c>
      <c r="F4" s="71">
        <v>139.49</v>
      </c>
      <c r="G4" s="71">
        <v>71</v>
      </c>
      <c r="H4" s="71"/>
      <c r="I4" s="71">
        <v>148.44</v>
      </c>
      <c r="J4" s="71">
        <v>135</v>
      </c>
      <c r="K4" s="71">
        <v>89.48</v>
      </c>
      <c r="L4" s="71">
        <v>123.5</v>
      </c>
      <c r="M4" s="71">
        <v>56</v>
      </c>
      <c r="N4" s="71">
        <v>85</v>
      </c>
      <c r="O4" s="71">
        <v>77.5</v>
      </c>
      <c r="P4" s="71">
        <v>186.91</v>
      </c>
      <c r="Q4" s="71">
        <v>98.93</v>
      </c>
      <c r="R4" s="71">
        <v>165.49</v>
      </c>
      <c r="S4" s="71">
        <v>183.39</v>
      </c>
      <c r="T4" s="71">
        <v>117.44</v>
      </c>
      <c r="U4" s="71">
        <v>171.4</v>
      </c>
      <c r="V4" s="71">
        <v>100.5</v>
      </c>
      <c r="W4" s="71">
        <v>30.95</v>
      </c>
      <c r="X4" s="71">
        <v>98.99</v>
      </c>
      <c r="Y4" s="71">
        <v>41.99</v>
      </c>
      <c r="Z4" s="71">
        <v>79.489999999999995</v>
      </c>
      <c r="AA4" s="71">
        <v>36.99</v>
      </c>
      <c r="AB4" s="71">
        <v>70.5</v>
      </c>
      <c r="AC4" s="71">
        <v>135.5</v>
      </c>
      <c r="AD4" s="71">
        <v>77.489999999999995</v>
      </c>
      <c r="AE4" s="71">
        <v>55.93</v>
      </c>
      <c r="AF4" s="71">
        <v>43</v>
      </c>
      <c r="AG4" s="71"/>
      <c r="AH4" s="108">
        <f t="shared" ref="AH4:AH6" si="1">SUM(C4:AG4)</f>
        <v>3035.7499999999991</v>
      </c>
      <c r="AJ4" s="69" t="s">
        <v>210</v>
      </c>
      <c r="AK4" s="70" t="s">
        <v>211</v>
      </c>
      <c r="AL4" s="208"/>
      <c r="AM4" s="208"/>
    </row>
    <row r="5" spans="1:40" x14ac:dyDescent="0.25">
      <c r="A5" s="66" t="s">
        <v>210</v>
      </c>
      <c r="B5" s="67" t="s">
        <v>234</v>
      </c>
      <c r="C5" s="68">
        <v>26</v>
      </c>
      <c r="D5" s="183"/>
      <c r="E5" s="68"/>
      <c r="F5" s="68"/>
      <c r="G5" s="68">
        <v>30</v>
      </c>
      <c r="H5" s="68"/>
      <c r="I5" s="68">
        <v>26</v>
      </c>
      <c r="J5" s="68">
        <v>1</v>
      </c>
      <c r="K5" s="68">
        <v>75</v>
      </c>
      <c r="L5" s="68">
        <v>2</v>
      </c>
      <c r="M5" s="68"/>
      <c r="N5" s="68"/>
      <c r="O5" s="68">
        <v>100</v>
      </c>
      <c r="P5" s="68"/>
      <c r="Q5" s="68"/>
      <c r="R5" s="68">
        <v>1</v>
      </c>
      <c r="S5" s="68"/>
      <c r="T5" s="68">
        <v>52</v>
      </c>
      <c r="U5" s="68">
        <v>91</v>
      </c>
      <c r="V5" s="68">
        <v>31</v>
      </c>
      <c r="W5" s="68">
        <v>2</v>
      </c>
      <c r="X5" s="68"/>
      <c r="Y5" s="68">
        <v>35</v>
      </c>
      <c r="Z5" s="68"/>
      <c r="AA5" s="68"/>
      <c r="AB5" s="68">
        <v>1</v>
      </c>
      <c r="AC5" s="68"/>
      <c r="AD5" s="68"/>
      <c r="AE5" s="68"/>
      <c r="AF5" s="68">
        <v>25</v>
      </c>
      <c r="AG5" s="68"/>
      <c r="AH5" s="108">
        <f t="shared" si="1"/>
        <v>498</v>
      </c>
      <c r="AJ5" s="66" t="s">
        <v>210</v>
      </c>
      <c r="AK5" s="67" t="s">
        <v>234</v>
      </c>
      <c r="AL5" s="208"/>
      <c r="AM5" s="208"/>
    </row>
    <row r="6" spans="1:40" ht="16.5" thickBot="1" x14ac:dyDescent="0.3">
      <c r="A6" s="66" t="s">
        <v>210</v>
      </c>
      <c r="B6" s="67" t="s">
        <v>233</v>
      </c>
      <c r="C6" s="68">
        <v>25.25</v>
      </c>
      <c r="D6" s="183">
        <v>25.25</v>
      </c>
      <c r="E6" s="68">
        <v>25.25</v>
      </c>
      <c r="F6" s="68">
        <v>25.25</v>
      </c>
      <c r="G6" s="68"/>
      <c r="H6" s="68"/>
      <c r="I6" s="68">
        <v>50.5</v>
      </c>
      <c r="J6" s="68"/>
      <c r="K6" s="68">
        <v>25.25</v>
      </c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>
        <v>25.25</v>
      </c>
      <c r="Y6" s="68">
        <v>25.25</v>
      </c>
      <c r="Z6" s="68"/>
      <c r="AA6" s="68"/>
      <c r="AB6" s="68"/>
      <c r="AC6" s="68"/>
      <c r="AD6" s="68">
        <v>75.75</v>
      </c>
      <c r="AE6" s="68"/>
      <c r="AF6" s="68">
        <v>25.25</v>
      </c>
      <c r="AG6" s="68"/>
      <c r="AH6" s="108">
        <f t="shared" si="1"/>
        <v>328.25</v>
      </c>
      <c r="AJ6" s="66" t="s">
        <v>210</v>
      </c>
      <c r="AK6" s="67" t="s">
        <v>233</v>
      </c>
      <c r="AL6" s="208"/>
      <c r="AM6" s="208"/>
    </row>
    <row r="7" spans="1:40" s="60" customFormat="1" ht="13.5" thickBot="1" x14ac:dyDescent="0.25">
      <c r="A7" s="197"/>
      <c r="B7" s="84" t="s">
        <v>64</v>
      </c>
      <c r="C7" s="107">
        <f t="shared" ref="C7:AG7" si="2">SUM(C3:C6)</f>
        <v>205.56</v>
      </c>
      <c r="D7" s="107">
        <f t="shared" si="2"/>
        <v>204.72</v>
      </c>
      <c r="E7" s="107">
        <f t="shared" si="2"/>
        <v>146.20999999999998</v>
      </c>
      <c r="F7" s="107">
        <f t="shared" si="2"/>
        <v>177.92000000000002</v>
      </c>
      <c r="G7" s="107">
        <f t="shared" si="2"/>
        <v>107.73</v>
      </c>
      <c r="H7" s="107">
        <f t="shared" si="2"/>
        <v>0</v>
      </c>
      <c r="I7" s="107">
        <f>SUM(I3:I6)</f>
        <v>238.98</v>
      </c>
      <c r="J7" s="107">
        <f t="shared" si="2"/>
        <v>148.76</v>
      </c>
      <c r="K7" s="107">
        <f t="shared" si="2"/>
        <v>198.19</v>
      </c>
      <c r="L7" s="107">
        <f t="shared" si="2"/>
        <v>137.16</v>
      </c>
      <c r="M7" s="107">
        <f t="shared" si="2"/>
        <v>61.3</v>
      </c>
      <c r="N7" s="107">
        <f t="shared" si="2"/>
        <v>93.03</v>
      </c>
      <c r="O7" s="107">
        <f t="shared" si="2"/>
        <v>184.82</v>
      </c>
      <c r="P7" s="107">
        <f t="shared" si="2"/>
        <v>204.57</v>
      </c>
      <c r="Q7" s="107">
        <f t="shared" si="2"/>
        <v>108.27000000000001</v>
      </c>
      <c r="R7" s="107">
        <f t="shared" si="2"/>
        <v>182.13</v>
      </c>
      <c r="S7" s="107">
        <f t="shared" si="2"/>
        <v>200.73</v>
      </c>
      <c r="T7" s="107">
        <f t="shared" si="2"/>
        <v>180.52</v>
      </c>
      <c r="U7" s="107">
        <f t="shared" si="2"/>
        <v>278.59000000000003</v>
      </c>
      <c r="V7" s="107">
        <f t="shared" si="2"/>
        <v>141.01999999999998</v>
      </c>
      <c r="W7" s="107">
        <f t="shared" si="2"/>
        <v>35.880000000000003</v>
      </c>
      <c r="X7" s="107">
        <f t="shared" si="2"/>
        <v>133.57999999999998</v>
      </c>
      <c r="Y7" s="107">
        <f t="shared" si="2"/>
        <v>106.21000000000001</v>
      </c>
      <c r="Z7" s="107">
        <f t="shared" si="2"/>
        <v>87.009999999999991</v>
      </c>
      <c r="AA7" s="107">
        <f t="shared" si="2"/>
        <v>40.480000000000004</v>
      </c>
      <c r="AB7" s="107">
        <f t="shared" si="2"/>
        <v>78.17</v>
      </c>
      <c r="AC7" s="107">
        <f t="shared" si="2"/>
        <v>148.28</v>
      </c>
      <c r="AD7" s="107">
        <f t="shared" si="2"/>
        <v>160.56</v>
      </c>
      <c r="AE7" s="107">
        <f t="shared" si="2"/>
        <v>61.2</v>
      </c>
      <c r="AF7" s="107">
        <f t="shared" si="2"/>
        <v>97.32</v>
      </c>
      <c r="AG7" s="107">
        <f t="shared" si="2"/>
        <v>0</v>
      </c>
      <c r="AH7" s="109">
        <f>SUM(C3:AG6)</f>
        <v>4148.8999999999987</v>
      </c>
      <c r="AI7" s="85"/>
      <c r="AJ7" s="273"/>
      <c r="AK7" s="274" t="s">
        <v>64</v>
      </c>
    </row>
    <row r="8" spans="1:40" ht="16.5" thickBot="1" x14ac:dyDescent="0.3">
      <c r="A8" s="193"/>
      <c r="B8" s="194"/>
      <c r="C8" s="195"/>
      <c r="D8" s="194"/>
      <c r="E8" s="194"/>
      <c r="F8" s="194"/>
      <c r="G8" s="194"/>
      <c r="H8" s="276"/>
      <c r="I8" s="194"/>
      <c r="J8" s="194"/>
      <c r="K8" s="194"/>
      <c r="L8" s="194"/>
      <c r="M8" s="194"/>
      <c r="N8" s="194"/>
      <c r="O8" s="194"/>
      <c r="P8" s="194"/>
      <c r="Q8" s="194"/>
      <c r="R8" s="261"/>
      <c r="S8" s="194"/>
      <c r="T8" s="194"/>
      <c r="U8" s="194"/>
      <c r="V8" s="194"/>
      <c r="W8" s="194"/>
      <c r="X8" s="194"/>
      <c r="Y8" s="195"/>
      <c r="Z8" s="194"/>
      <c r="AA8" s="194"/>
      <c r="AB8" s="194"/>
      <c r="AC8" s="194"/>
      <c r="AD8" s="194"/>
      <c r="AE8" s="194"/>
      <c r="AF8" s="194"/>
      <c r="AG8" s="194"/>
      <c r="AH8" s="196"/>
      <c r="AJ8" s="280" t="s">
        <v>66</v>
      </c>
      <c r="AK8" s="281" t="s">
        <v>128</v>
      </c>
      <c r="AL8" s="281" t="s">
        <v>120</v>
      </c>
      <c r="AM8" s="282" t="s">
        <v>121</v>
      </c>
    </row>
    <row r="9" spans="1:40" x14ac:dyDescent="0.25">
      <c r="A9" s="89" t="s">
        <v>60</v>
      </c>
      <c r="B9" s="84" t="s">
        <v>54</v>
      </c>
      <c r="C9" s="390"/>
      <c r="D9" s="390">
        <v>6.55</v>
      </c>
      <c r="E9" s="390">
        <v>24.64</v>
      </c>
      <c r="F9" s="390">
        <v>29.08</v>
      </c>
      <c r="G9" s="390">
        <v>45.33</v>
      </c>
      <c r="H9" s="390"/>
      <c r="I9" s="390">
        <v>140.55000000000001</v>
      </c>
      <c r="J9" s="390">
        <v>9.76</v>
      </c>
      <c r="K9" s="390">
        <v>41.12</v>
      </c>
      <c r="L9" s="390">
        <v>89.55</v>
      </c>
      <c r="M9" s="390">
        <v>33.94</v>
      </c>
      <c r="N9" s="390">
        <v>3.28</v>
      </c>
      <c r="O9" s="390">
        <v>12.04</v>
      </c>
      <c r="P9" s="390">
        <v>39.39</v>
      </c>
      <c r="Q9" s="390">
        <v>31.72</v>
      </c>
      <c r="R9" s="390">
        <v>49.16</v>
      </c>
      <c r="S9" s="390">
        <v>78.73</v>
      </c>
      <c r="T9" s="390">
        <v>7.47</v>
      </c>
      <c r="U9" s="390">
        <v>1</v>
      </c>
      <c r="V9" s="390">
        <f>65.04+7</f>
        <v>72.040000000000006</v>
      </c>
      <c r="W9" s="391">
        <v>4.1900000000000004</v>
      </c>
      <c r="X9" s="391">
        <v>13.13</v>
      </c>
      <c r="Y9" s="391">
        <v>25.25</v>
      </c>
      <c r="Z9" s="391">
        <v>2.19</v>
      </c>
      <c r="AA9" s="391">
        <v>4.38</v>
      </c>
      <c r="AB9" s="391">
        <v>40.96</v>
      </c>
      <c r="AC9" s="391">
        <v>50.89</v>
      </c>
      <c r="AD9" s="391">
        <v>65.87</v>
      </c>
      <c r="AE9" s="391">
        <v>13.13</v>
      </c>
      <c r="AF9" s="391">
        <v>28.46</v>
      </c>
      <c r="AG9" s="391"/>
      <c r="AH9" s="110">
        <f>SUM(C9:AG9)</f>
        <v>963.80000000000007</v>
      </c>
      <c r="AJ9" s="137" t="s">
        <v>60</v>
      </c>
      <c r="AK9" s="138" t="s">
        <v>212</v>
      </c>
      <c r="AL9" s="384">
        <f>SUM(C9:V9)</f>
        <v>715.34999999999991</v>
      </c>
      <c r="AM9" s="385">
        <f>SUM(W9:AG9)</f>
        <v>248.45000000000002</v>
      </c>
    </row>
    <row r="10" spans="1:40" ht="16.5" thickBot="1" x14ac:dyDescent="0.3">
      <c r="A10" s="90" t="s">
        <v>60</v>
      </c>
      <c r="B10" s="91" t="s">
        <v>55</v>
      </c>
      <c r="C10" s="387">
        <v>205.56</v>
      </c>
      <c r="D10" s="387">
        <v>198.17</v>
      </c>
      <c r="E10" s="387">
        <v>121.57</v>
      </c>
      <c r="F10" s="387">
        <v>148.84</v>
      </c>
      <c r="G10" s="387">
        <v>62.4</v>
      </c>
      <c r="H10" s="387"/>
      <c r="I10" s="387">
        <v>98.43</v>
      </c>
      <c r="J10" s="387">
        <v>139</v>
      </c>
      <c r="K10" s="387">
        <v>157.07</v>
      </c>
      <c r="L10" s="387">
        <v>47.61</v>
      </c>
      <c r="M10" s="387">
        <v>27.36</v>
      </c>
      <c r="N10" s="387">
        <v>89.75</v>
      </c>
      <c r="O10" s="387">
        <v>172.78</v>
      </c>
      <c r="P10" s="387">
        <v>165.18</v>
      </c>
      <c r="Q10" s="387">
        <v>76.55</v>
      </c>
      <c r="R10" s="387">
        <v>132.97</v>
      </c>
      <c r="S10" s="387">
        <v>122</v>
      </c>
      <c r="T10" s="387">
        <v>173.05</v>
      </c>
      <c r="U10" s="387">
        <v>277.58999999999997</v>
      </c>
      <c r="V10" s="387">
        <v>75.98</v>
      </c>
      <c r="W10" s="387">
        <v>31.69</v>
      </c>
      <c r="X10" s="387">
        <v>120.45</v>
      </c>
      <c r="Y10" s="387">
        <v>80.959999999999994</v>
      </c>
      <c r="Z10" s="389">
        <v>84.82</v>
      </c>
      <c r="AA10" s="389">
        <v>36.1</v>
      </c>
      <c r="AB10" s="389">
        <v>37.21</v>
      </c>
      <c r="AC10" s="389">
        <v>97.39</v>
      </c>
      <c r="AD10" s="389">
        <v>94.74</v>
      </c>
      <c r="AE10" s="389">
        <v>48.07</v>
      </c>
      <c r="AF10" s="389">
        <v>68.86</v>
      </c>
      <c r="AG10" s="389"/>
      <c r="AH10" s="111">
        <f t="shared" ref="AH10" si="3">SUM(C10:AG10)</f>
        <v>3192.15</v>
      </c>
      <c r="AJ10" s="129" t="s">
        <v>60</v>
      </c>
      <c r="AK10" s="130" t="s">
        <v>213</v>
      </c>
      <c r="AL10" s="288">
        <f>SUM(C10:Y10)-AL15</f>
        <v>2639.9700000000003</v>
      </c>
      <c r="AM10" s="289">
        <f>SUM(Z10:AG10)-AM15</f>
        <v>452.63</v>
      </c>
    </row>
    <row r="11" spans="1:40" ht="16.5" thickBot="1" x14ac:dyDescent="0.3">
      <c r="A11" s="200"/>
      <c r="B11" s="191" t="s">
        <v>65</v>
      </c>
      <c r="C11" s="107">
        <f t="shared" ref="C11:AG11" si="4">SUM(C9:C10)</f>
        <v>205.56</v>
      </c>
      <c r="D11" s="107">
        <f t="shared" si="4"/>
        <v>204.72</v>
      </c>
      <c r="E11" s="107">
        <f t="shared" si="4"/>
        <v>146.20999999999998</v>
      </c>
      <c r="F11" s="107">
        <f t="shared" si="4"/>
        <v>177.92000000000002</v>
      </c>
      <c r="G11" s="107">
        <f t="shared" si="4"/>
        <v>107.72999999999999</v>
      </c>
      <c r="H11" s="107">
        <f t="shared" si="4"/>
        <v>0</v>
      </c>
      <c r="I11" s="107">
        <f t="shared" si="4"/>
        <v>238.98000000000002</v>
      </c>
      <c r="J11" s="107">
        <f t="shared" si="4"/>
        <v>148.76</v>
      </c>
      <c r="K11" s="107">
        <f t="shared" si="4"/>
        <v>198.19</v>
      </c>
      <c r="L11" s="107">
        <f t="shared" si="4"/>
        <v>137.16</v>
      </c>
      <c r="M11" s="107">
        <f t="shared" si="4"/>
        <v>61.3</v>
      </c>
      <c r="N11" s="107">
        <f t="shared" si="4"/>
        <v>93.03</v>
      </c>
      <c r="O11" s="107">
        <f t="shared" si="4"/>
        <v>184.82</v>
      </c>
      <c r="P11" s="107">
        <f t="shared" si="4"/>
        <v>204.57</v>
      </c>
      <c r="Q11" s="107">
        <f t="shared" si="4"/>
        <v>108.27</v>
      </c>
      <c r="R11" s="107">
        <f t="shared" si="4"/>
        <v>182.13</v>
      </c>
      <c r="S11" s="107">
        <f t="shared" si="4"/>
        <v>200.73000000000002</v>
      </c>
      <c r="T11" s="107">
        <f t="shared" si="4"/>
        <v>180.52</v>
      </c>
      <c r="U11" s="107">
        <f t="shared" si="4"/>
        <v>278.58999999999997</v>
      </c>
      <c r="V11" s="107">
        <f t="shared" si="4"/>
        <v>148.02000000000001</v>
      </c>
      <c r="W11" s="107">
        <f t="shared" si="4"/>
        <v>35.880000000000003</v>
      </c>
      <c r="X11" s="107">
        <f t="shared" si="4"/>
        <v>133.58000000000001</v>
      </c>
      <c r="Y11" s="107">
        <f t="shared" si="4"/>
        <v>106.21</v>
      </c>
      <c r="Z11" s="107">
        <f t="shared" si="4"/>
        <v>87.009999999999991</v>
      </c>
      <c r="AA11" s="107">
        <f t="shared" si="4"/>
        <v>40.480000000000004</v>
      </c>
      <c r="AB11" s="107">
        <f t="shared" si="4"/>
        <v>78.17</v>
      </c>
      <c r="AC11" s="107">
        <f t="shared" si="4"/>
        <v>148.28</v>
      </c>
      <c r="AD11" s="107">
        <f t="shared" si="4"/>
        <v>160.61000000000001</v>
      </c>
      <c r="AE11" s="107">
        <f t="shared" si="4"/>
        <v>61.2</v>
      </c>
      <c r="AF11" s="107">
        <f t="shared" si="4"/>
        <v>97.32</v>
      </c>
      <c r="AG11" s="107">
        <f t="shared" si="4"/>
        <v>0</v>
      </c>
      <c r="AH11" s="110">
        <f>SUM(C11:AG11)</f>
        <v>4155.9500000000007</v>
      </c>
      <c r="AI11" s="59"/>
      <c r="AJ11" s="498" t="s">
        <v>76</v>
      </c>
      <c r="AK11" s="499"/>
      <c r="AL11" s="500">
        <f>SUM(AL9:AM10)</f>
        <v>4056.4000000000005</v>
      </c>
      <c r="AM11" s="501"/>
      <c r="AN11" s="271">
        <f>AL11-(AH11+AL13-AL15-AM15)</f>
        <v>7.0499999999997272</v>
      </c>
    </row>
    <row r="12" spans="1:40" ht="16.5" thickBot="1" x14ac:dyDescent="0.3">
      <c r="A12" s="95"/>
      <c r="B12" s="96"/>
      <c r="C12" s="97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8"/>
      <c r="AJ12" s="266"/>
      <c r="AK12" s="266"/>
      <c r="AL12" s="99"/>
      <c r="AM12" s="188"/>
      <c r="AN12" s="190"/>
    </row>
    <row r="13" spans="1:40" s="99" customFormat="1" ht="16.5" thickBot="1" x14ac:dyDescent="0.3">
      <c r="A13" s="273" t="s">
        <v>214</v>
      </c>
      <c r="B13" s="101" t="s">
        <v>33</v>
      </c>
      <c r="C13" s="114">
        <f t="shared" ref="C13:AG13" si="5">SUM(C3:C6)-SUM(C9:C10)</f>
        <v>0</v>
      </c>
      <c r="D13" s="114">
        <f t="shared" si="5"/>
        <v>0</v>
      </c>
      <c r="E13" s="114">
        <f t="shared" si="5"/>
        <v>0</v>
      </c>
      <c r="F13" s="114">
        <f t="shared" si="5"/>
        <v>0</v>
      </c>
      <c r="G13" s="114">
        <f t="shared" si="5"/>
        <v>0</v>
      </c>
      <c r="H13" s="114">
        <f t="shared" si="5"/>
        <v>0</v>
      </c>
      <c r="I13" s="114">
        <f>SUM(I3:I6)-SUM(I9:I10)</f>
        <v>0</v>
      </c>
      <c r="J13" s="114">
        <f t="shared" si="5"/>
        <v>0</v>
      </c>
      <c r="K13" s="114">
        <f t="shared" si="5"/>
        <v>0</v>
      </c>
      <c r="L13" s="114">
        <f t="shared" si="5"/>
        <v>0</v>
      </c>
      <c r="M13" s="114">
        <f t="shared" si="5"/>
        <v>0</v>
      </c>
      <c r="N13" s="114">
        <f t="shared" si="5"/>
        <v>0</v>
      </c>
      <c r="O13" s="114">
        <f t="shared" si="5"/>
        <v>0</v>
      </c>
      <c r="P13" s="114">
        <f t="shared" si="5"/>
        <v>0</v>
      </c>
      <c r="Q13" s="114">
        <f t="shared" si="5"/>
        <v>0</v>
      </c>
      <c r="R13" s="114">
        <f t="shared" si="5"/>
        <v>0</v>
      </c>
      <c r="S13" s="114">
        <f t="shared" si="5"/>
        <v>0</v>
      </c>
      <c r="T13" s="114">
        <f t="shared" si="5"/>
        <v>0</v>
      </c>
      <c r="U13" s="114">
        <f t="shared" si="5"/>
        <v>0</v>
      </c>
      <c r="V13" s="114">
        <f t="shared" si="5"/>
        <v>-7.0000000000000284</v>
      </c>
      <c r="W13" s="114">
        <f t="shared" si="5"/>
        <v>0</v>
      </c>
      <c r="X13" s="114">
        <f t="shared" si="5"/>
        <v>0</v>
      </c>
      <c r="Y13" s="114">
        <f t="shared" si="5"/>
        <v>0</v>
      </c>
      <c r="Z13" s="114">
        <f t="shared" si="5"/>
        <v>0</v>
      </c>
      <c r="AA13" s="114">
        <f t="shared" si="5"/>
        <v>0</v>
      </c>
      <c r="AB13" s="114">
        <f t="shared" si="5"/>
        <v>0</v>
      </c>
      <c r="AC13" s="114">
        <f t="shared" si="5"/>
        <v>0</v>
      </c>
      <c r="AD13" s="114">
        <f t="shared" si="5"/>
        <v>-5.0000000000011369E-2</v>
      </c>
      <c r="AE13" s="114">
        <f t="shared" si="5"/>
        <v>0</v>
      </c>
      <c r="AF13" s="114">
        <f t="shared" si="5"/>
        <v>0</v>
      </c>
      <c r="AG13" s="114">
        <f t="shared" si="5"/>
        <v>0</v>
      </c>
      <c r="AH13" s="115">
        <f>SUM(C13:AG13)</f>
        <v>-7.0500000000000398</v>
      </c>
      <c r="AI13" s="62"/>
      <c r="AJ13" s="460" t="s">
        <v>214</v>
      </c>
      <c r="AK13" s="210" t="s">
        <v>215</v>
      </c>
      <c r="AL13" s="269">
        <f>AH13</f>
        <v>-7.0500000000000398</v>
      </c>
      <c r="AM13" s="270"/>
      <c r="AN13" s="272" t="s">
        <v>126</v>
      </c>
    </row>
    <row r="14" spans="1:40" s="102" customFormat="1" ht="16.5" thickBot="1" x14ac:dyDescent="0.3">
      <c r="A14" s="222"/>
      <c r="B14" s="223"/>
      <c r="C14" s="223"/>
      <c r="D14" s="223"/>
      <c r="E14" s="223"/>
      <c r="F14" s="223"/>
      <c r="G14" s="223"/>
      <c r="H14" s="223"/>
      <c r="I14" s="223"/>
      <c r="J14" s="223"/>
      <c r="K14" s="223"/>
      <c r="L14" s="223"/>
      <c r="M14" s="223"/>
      <c r="N14" s="223"/>
      <c r="O14" s="223"/>
      <c r="P14" s="223"/>
      <c r="Q14" s="223"/>
      <c r="R14" s="223"/>
      <c r="S14" s="223"/>
      <c r="T14" s="223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4"/>
      <c r="AI14" s="62"/>
      <c r="AJ14" s="461"/>
      <c r="AK14" s="223"/>
      <c r="AL14" s="99"/>
      <c r="AM14" s="472">
        <f>AL11+AL13+AM13+AL15+AM15</f>
        <v>4148.9000000000005</v>
      </c>
      <c r="AN14" s="471">
        <f>AM14-AH7</f>
        <v>0</v>
      </c>
    </row>
    <row r="15" spans="1:40" s="99" customFormat="1" ht="16.5" thickBot="1" x14ac:dyDescent="0.3">
      <c r="A15" s="460" t="s">
        <v>216</v>
      </c>
      <c r="B15" s="101" t="s">
        <v>195</v>
      </c>
      <c r="C15" s="462">
        <v>6.4</v>
      </c>
      <c r="D15" s="462">
        <v>6.19</v>
      </c>
      <c r="E15" s="462">
        <v>3.79</v>
      </c>
      <c r="F15" s="462">
        <v>4.6500000000000004</v>
      </c>
      <c r="G15" s="462">
        <v>1.94</v>
      </c>
      <c r="H15" s="462"/>
      <c r="I15" s="462">
        <v>3.08</v>
      </c>
      <c r="J15" s="462">
        <v>4.34</v>
      </c>
      <c r="K15" s="462">
        <v>4.8899999999999997</v>
      </c>
      <c r="L15" s="462">
        <v>1.48</v>
      </c>
      <c r="M15" s="462">
        <v>0.85</v>
      </c>
      <c r="N15" s="462">
        <v>2.8</v>
      </c>
      <c r="O15" s="462">
        <v>5.39</v>
      </c>
      <c r="P15" s="462">
        <v>5.14</v>
      </c>
      <c r="Q15" s="462">
        <v>2.39</v>
      </c>
      <c r="R15" s="462">
        <v>4.16</v>
      </c>
      <c r="S15" s="462">
        <v>3.8</v>
      </c>
      <c r="T15" s="462">
        <v>5.4</v>
      </c>
      <c r="U15" s="462">
        <v>8.66</v>
      </c>
      <c r="V15" s="462">
        <v>2.38</v>
      </c>
      <c r="W15" s="462">
        <v>0.99</v>
      </c>
      <c r="X15" s="462">
        <v>3.75</v>
      </c>
      <c r="Y15" s="462">
        <v>2.52</v>
      </c>
      <c r="Z15" s="477">
        <v>2.64</v>
      </c>
      <c r="AA15" s="477">
        <v>1.1200000000000001</v>
      </c>
      <c r="AB15" s="477">
        <v>1.1599999999999999</v>
      </c>
      <c r="AC15" s="477">
        <v>3.03</v>
      </c>
      <c r="AD15" s="477">
        <v>2.96</v>
      </c>
      <c r="AE15" s="477">
        <v>1.5</v>
      </c>
      <c r="AF15" s="477">
        <v>2.15</v>
      </c>
      <c r="AG15" s="478"/>
      <c r="AH15" s="463">
        <f t="shared" ref="AH15" si="6">SUM(C15:AG15)</f>
        <v>99.549999999999983</v>
      </c>
      <c r="AI15" s="62"/>
      <c r="AJ15" s="460" t="s">
        <v>216</v>
      </c>
      <c r="AK15" s="210" t="s">
        <v>197</v>
      </c>
      <c r="AL15" s="269">
        <f>SUM(C15:Y15)</f>
        <v>84.989999999999981</v>
      </c>
      <c r="AM15" s="270">
        <f>SUM(Z15:AG15)</f>
        <v>14.56</v>
      </c>
      <c r="AN15" s="272"/>
    </row>
    <row r="16" spans="1:40" s="102" customFormat="1" x14ac:dyDescent="0.25">
      <c r="A16" s="222"/>
      <c r="B16" s="223" t="s">
        <v>232</v>
      </c>
      <c r="C16" s="476">
        <f>C10-C15</f>
        <v>199.16</v>
      </c>
      <c r="D16" s="476">
        <f t="shared" ref="D16:AG16" si="7">D10-D15</f>
        <v>191.98</v>
      </c>
      <c r="E16" s="476">
        <f t="shared" si="7"/>
        <v>117.77999999999999</v>
      </c>
      <c r="F16" s="476">
        <f t="shared" si="7"/>
        <v>144.19</v>
      </c>
      <c r="G16" s="476">
        <f t="shared" si="7"/>
        <v>60.46</v>
      </c>
      <c r="H16" s="476">
        <f t="shared" si="7"/>
        <v>0</v>
      </c>
      <c r="I16" s="476">
        <f t="shared" si="7"/>
        <v>95.350000000000009</v>
      </c>
      <c r="J16" s="476">
        <f t="shared" si="7"/>
        <v>134.66</v>
      </c>
      <c r="K16" s="476">
        <f t="shared" si="7"/>
        <v>152.18</v>
      </c>
      <c r="L16" s="476">
        <f t="shared" si="7"/>
        <v>46.13</v>
      </c>
      <c r="M16" s="476">
        <f t="shared" si="7"/>
        <v>26.509999999999998</v>
      </c>
      <c r="N16" s="476">
        <f t="shared" si="7"/>
        <v>86.95</v>
      </c>
      <c r="O16" s="476">
        <f t="shared" si="7"/>
        <v>167.39000000000001</v>
      </c>
      <c r="P16" s="476">
        <f t="shared" si="7"/>
        <v>160.04000000000002</v>
      </c>
      <c r="Q16" s="476">
        <f t="shared" si="7"/>
        <v>74.16</v>
      </c>
      <c r="R16" s="476">
        <f t="shared" si="7"/>
        <v>128.81</v>
      </c>
      <c r="S16" s="476">
        <f t="shared" si="7"/>
        <v>118.2</v>
      </c>
      <c r="T16" s="476">
        <f t="shared" si="7"/>
        <v>167.65</v>
      </c>
      <c r="U16" s="476">
        <f t="shared" si="7"/>
        <v>268.92999999999995</v>
      </c>
      <c r="V16" s="476">
        <f t="shared" si="7"/>
        <v>73.600000000000009</v>
      </c>
      <c r="W16" s="476">
        <f t="shared" si="7"/>
        <v>30.700000000000003</v>
      </c>
      <c r="X16" s="476">
        <f t="shared" si="7"/>
        <v>116.7</v>
      </c>
      <c r="Y16" s="476">
        <f t="shared" si="7"/>
        <v>78.44</v>
      </c>
      <c r="Z16" s="476">
        <f t="shared" si="7"/>
        <v>82.179999999999993</v>
      </c>
      <c r="AA16" s="476">
        <f t="shared" si="7"/>
        <v>34.980000000000004</v>
      </c>
      <c r="AB16" s="476">
        <f t="shared" si="7"/>
        <v>36.050000000000004</v>
      </c>
      <c r="AC16" s="476">
        <f t="shared" si="7"/>
        <v>94.36</v>
      </c>
      <c r="AD16" s="476">
        <f t="shared" si="7"/>
        <v>91.78</v>
      </c>
      <c r="AE16" s="476">
        <f t="shared" si="7"/>
        <v>46.57</v>
      </c>
      <c r="AF16" s="476">
        <f t="shared" si="7"/>
        <v>66.709999999999994</v>
      </c>
      <c r="AG16" s="476">
        <f t="shared" si="7"/>
        <v>0</v>
      </c>
      <c r="AH16" s="224"/>
      <c r="AI16" s="62"/>
      <c r="AJ16" s="222"/>
      <c r="AK16" s="223"/>
      <c r="AL16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11:AK11"/>
    <mergeCell ref="AL11:AM11"/>
  </mergeCells>
  <conditionalFormatting sqref="C13:AG13">
    <cfRule type="cellIs" dxfId="3" priority="4" operator="notEqual">
      <formula>0</formula>
    </cfRule>
  </conditionalFormatting>
  <conditionalFormatting sqref="C13:AG13">
    <cfRule type="cellIs" dxfId="2" priority="3" operator="notEqual">
      <formula>0</formula>
    </cfRule>
  </conditionalFormatting>
  <conditionalFormatting sqref="AN11">
    <cfRule type="cellIs" dxfId="1" priority="1" operator="lessThan">
      <formula>0</formula>
    </cfRule>
    <cfRule type="cellIs" dxfId="0" priority="2" operator="greaterThan">
      <formula>0</formula>
    </cfRule>
  </conditionalFormatting>
  <pageMargins left="0" right="0" top="0.75" bottom="0.75" header="0.3" footer="0.3"/>
  <pageSetup paperSize="17" scale="59" orientation="landscape" r:id="rId1"/>
  <headerFooter>
    <oddFooter>&amp;L&amp;8&amp;Z&amp;F&amp;R&amp;8&amp;A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9"/>
  <sheetViews>
    <sheetView workbookViewId="0">
      <selection activeCell="G43" sqref="G43"/>
    </sheetView>
  </sheetViews>
  <sheetFormatPr defaultRowHeight="15" x14ac:dyDescent="0.25"/>
  <cols>
    <col min="1" max="1" width="10.42578125" style="59" bestFit="1" customWidth="1"/>
    <col min="2" max="2" width="35.140625" style="59" customWidth="1"/>
    <col min="3" max="3" width="17.85546875" style="154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79" customFormat="1" ht="13.5" customHeight="1" x14ac:dyDescent="0.25">
      <c r="A1" s="233" t="s">
        <v>114</v>
      </c>
      <c r="B1" s="177" t="str">
        <f>CONCATENATE('Cash Flow'!C1, "  ",'Cash Flow'!D1)</f>
        <v>June  2024</v>
      </c>
      <c r="C1" s="178"/>
    </row>
    <row r="2" spans="1:6" s="179" customFormat="1" ht="5.0999999999999996" customHeight="1" thickBot="1" x14ac:dyDescent="0.3">
      <c r="A2" s="233"/>
      <c r="B2" s="177"/>
      <c r="C2" s="178"/>
    </row>
    <row r="3" spans="1:6" s="179" customFormat="1" ht="14.1" customHeight="1" thickBot="1" x14ac:dyDescent="0.3">
      <c r="A3" s="521" t="s">
        <v>181</v>
      </c>
      <c r="B3" s="522"/>
      <c r="C3" s="523"/>
    </row>
    <row r="4" spans="1:6" s="179" customFormat="1" ht="24" customHeight="1" x14ac:dyDescent="0.25">
      <c r="A4" s="89" t="s">
        <v>30</v>
      </c>
      <c r="B4" s="84" t="s">
        <v>226</v>
      </c>
      <c r="C4" s="184">
        <f>Pool!AH4</f>
        <v>341235.19999999995</v>
      </c>
      <c r="D4" s="515"/>
      <c r="E4" s="516"/>
      <c r="F4" s="516"/>
    </row>
    <row r="5" spans="1:6" ht="14.1" customHeight="1" x14ac:dyDescent="0.25">
      <c r="A5" s="90" t="s">
        <v>173</v>
      </c>
      <c r="B5" s="91" t="s">
        <v>63</v>
      </c>
      <c r="C5" s="185">
        <f>Pool!AH9</f>
        <v>17247</v>
      </c>
      <c r="D5" s="519"/>
      <c r="E5" s="520"/>
      <c r="F5" s="520"/>
    </row>
    <row r="6" spans="1:6" ht="14.1" customHeight="1" x14ac:dyDescent="0.25">
      <c r="A6" s="90" t="s">
        <v>152</v>
      </c>
      <c r="B6" s="91" t="s">
        <v>231</v>
      </c>
      <c r="C6" s="185">
        <f>Pool!AH6+Pool!AH7</f>
        <v>72259.5</v>
      </c>
      <c r="D6" s="517"/>
      <c r="E6" s="518"/>
      <c r="F6" s="518"/>
    </row>
    <row r="7" spans="1:6" ht="14.1" customHeight="1" x14ac:dyDescent="0.25">
      <c r="A7" s="90" t="s">
        <v>157</v>
      </c>
      <c r="B7" s="91" t="s">
        <v>158</v>
      </c>
      <c r="C7" s="185">
        <f>Pool!AH8</f>
        <v>237.55</v>
      </c>
      <c r="D7" s="519"/>
      <c r="E7" s="520"/>
      <c r="F7" s="520"/>
    </row>
    <row r="8" spans="1:6" ht="14.1" customHeight="1" x14ac:dyDescent="0.25">
      <c r="A8" s="90" t="s">
        <v>159</v>
      </c>
      <c r="B8" s="91" t="s">
        <v>168</v>
      </c>
      <c r="C8" s="185">
        <f>Pool!AH10</f>
        <v>0</v>
      </c>
      <c r="D8" s="519"/>
      <c r="E8" s="520"/>
      <c r="F8" s="520"/>
    </row>
    <row r="9" spans="1:6" ht="14.1" customHeight="1" x14ac:dyDescent="0.25">
      <c r="A9" s="90" t="s">
        <v>34</v>
      </c>
      <c r="B9" s="91" t="s">
        <v>35</v>
      </c>
      <c r="C9" s="185">
        <f>Pool!AH14</f>
        <v>2643</v>
      </c>
      <c r="D9" s="519"/>
      <c r="E9" s="520"/>
      <c r="F9" s="520"/>
    </row>
    <row r="10" spans="1:6" ht="14.1" customHeight="1" x14ac:dyDescent="0.25">
      <c r="A10" s="90" t="s">
        <v>36</v>
      </c>
      <c r="B10" s="91" t="s">
        <v>37</v>
      </c>
      <c r="C10" s="185">
        <f>Pool!AH15+Pool!AH17</f>
        <v>27651.820000000007</v>
      </c>
      <c r="D10" s="519"/>
      <c r="E10" s="520"/>
      <c r="F10" s="520"/>
    </row>
    <row r="11" spans="1:6" ht="14.1" customHeight="1" x14ac:dyDescent="0.25">
      <c r="A11" s="90" t="s">
        <v>194</v>
      </c>
      <c r="B11" s="91" t="s">
        <v>111</v>
      </c>
      <c r="C11" s="185">
        <f>Pool!AH16</f>
        <v>0</v>
      </c>
      <c r="D11" s="519"/>
      <c r="E11" s="520"/>
      <c r="F11" s="520"/>
    </row>
    <row r="12" spans="1:6" ht="14.1" customHeight="1" x14ac:dyDescent="0.25">
      <c r="A12" s="90" t="s">
        <v>77</v>
      </c>
      <c r="B12" s="91" t="s">
        <v>193</v>
      </c>
      <c r="C12" s="185">
        <f>Pool!AH18</f>
        <v>3945.5</v>
      </c>
      <c r="D12" s="519"/>
      <c r="E12" s="520"/>
      <c r="F12" s="520"/>
    </row>
    <row r="13" spans="1:6" ht="14.1" hidden="1" customHeight="1" x14ac:dyDescent="0.25">
      <c r="A13" s="90" t="s">
        <v>38</v>
      </c>
      <c r="B13" s="91" t="s">
        <v>39</v>
      </c>
      <c r="C13" s="185">
        <f>Pool!AH19</f>
        <v>0</v>
      </c>
      <c r="D13" s="519"/>
      <c r="E13" s="520"/>
      <c r="F13" s="520"/>
    </row>
    <row r="14" spans="1:6" ht="14.1" customHeight="1" x14ac:dyDescent="0.25">
      <c r="A14" s="90" t="s">
        <v>40</v>
      </c>
      <c r="B14" s="91" t="s">
        <v>228</v>
      </c>
      <c r="C14" s="185">
        <f>Pool!AH20</f>
        <v>1620</v>
      </c>
      <c r="D14" s="519"/>
      <c r="E14" s="520"/>
      <c r="F14" s="520"/>
    </row>
    <row r="15" spans="1:6" ht="14.1" customHeight="1" thickBot="1" x14ac:dyDescent="0.3">
      <c r="A15" s="81" t="s">
        <v>161</v>
      </c>
      <c r="B15" s="94" t="s">
        <v>162</v>
      </c>
      <c r="C15" s="186">
        <f>Pool!AH21</f>
        <v>15</v>
      </c>
      <c r="D15" s="519"/>
      <c r="E15" s="520"/>
      <c r="F15" s="520"/>
    </row>
    <row r="16" spans="1:6" ht="14.1" hidden="1" customHeight="1" x14ac:dyDescent="0.25">
      <c r="A16" s="464" t="s">
        <v>42</v>
      </c>
      <c r="B16" s="465" t="s">
        <v>43</v>
      </c>
      <c r="C16" s="466">
        <f>Pool!AH22</f>
        <v>0</v>
      </c>
      <c r="D16" s="519"/>
      <c r="E16" s="520"/>
      <c r="F16" s="520"/>
    </row>
    <row r="17" spans="1:7" ht="14.1" hidden="1" customHeight="1" x14ac:dyDescent="0.25">
      <c r="A17" s="90" t="s">
        <v>44</v>
      </c>
      <c r="B17" s="91" t="s">
        <v>45</v>
      </c>
      <c r="C17" s="185">
        <f>Pool!AH23</f>
        <v>0</v>
      </c>
      <c r="D17" s="519"/>
      <c r="E17" s="520"/>
      <c r="F17" s="520"/>
    </row>
    <row r="18" spans="1:7" ht="14.1" hidden="1" customHeight="1" x14ac:dyDescent="0.25">
      <c r="A18" s="90" t="s">
        <v>46</v>
      </c>
      <c r="B18" s="91" t="s">
        <v>47</v>
      </c>
      <c r="C18" s="185">
        <f>Pool!AH24</f>
        <v>0</v>
      </c>
      <c r="D18" s="519"/>
      <c r="E18" s="520"/>
      <c r="F18" s="520"/>
    </row>
    <row r="19" spans="1:7" ht="14.1" hidden="1" customHeight="1" x14ac:dyDescent="0.25">
      <c r="A19" s="90" t="s">
        <v>48</v>
      </c>
      <c r="B19" s="91" t="s">
        <v>49</v>
      </c>
      <c r="C19" s="185">
        <f>Pool!AH25</f>
        <v>0</v>
      </c>
      <c r="D19" s="519"/>
      <c r="E19" s="520"/>
      <c r="F19" s="520"/>
    </row>
    <row r="20" spans="1:7" ht="14.1" hidden="1" customHeight="1" x14ac:dyDescent="0.25">
      <c r="A20" s="90" t="s">
        <v>50</v>
      </c>
      <c r="B20" s="91" t="s">
        <v>51</v>
      </c>
      <c r="C20" s="185">
        <f>Pool!AH26</f>
        <v>0</v>
      </c>
      <c r="D20" s="519"/>
      <c r="E20" s="520"/>
      <c r="F20" s="520"/>
    </row>
    <row r="21" spans="1:7" ht="14.1" hidden="1" customHeight="1" thickBot="1" x14ac:dyDescent="0.3">
      <c r="A21" s="81" t="s">
        <v>52</v>
      </c>
      <c r="B21" s="94" t="s">
        <v>53</v>
      </c>
      <c r="C21" s="186">
        <f>Pool!AH27</f>
        <v>0</v>
      </c>
      <c r="D21" s="519"/>
      <c r="E21" s="520"/>
      <c r="F21" s="520"/>
    </row>
    <row r="22" spans="1:7" ht="14.1" customHeight="1" x14ac:dyDescent="0.25">
      <c r="A22" s="187"/>
      <c r="B22" s="205" t="s">
        <v>64</v>
      </c>
      <c r="C22" s="467">
        <f>C4+C5+C6+C7+C8+C9+C10+C11+C12+C15+C14</f>
        <v>466854.56999999995</v>
      </c>
      <c r="D22" s="520" t="s">
        <v>171</v>
      </c>
      <c r="E22" s="520"/>
      <c r="F22" s="520"/>
    </row>
    <row r="23" spans="1:7" ht="5.0999999999999996" customHeight="1" thickBot="1" x14ac:dyDescent="0.3">
      <c r="A23" s="116"/>
      <c r="B23" s="116"/>
      <c r="C23" s="116"/>
      <c r="F23" s="208"/>
      <c r="G23" s="208"/>
    </row>
    <row r="24" spans="1:7" ht="14.1" customHeight="1" thickBot="1" x14ac:dyDescent="0.3">
      <c r="A24" s="521" t="s">
        <v>174</v>
      </c>
      <c r="B24" s="522"/>
      <c r="C24" s="523"/>
    </row>
    <row r="25" spans="1:7" ht="14.1" customHeight="1" x14ac:dyDescent="0.25">
      <c r="A25" s="126" t="s">
        <v>61</v>
      </c>
      <c r="B25" s="392" t="s">
        <v>62</v>
      </c>
      <c r="C25" s="393">
        <f>Pool!AH3</f>
        <v>2615.9499999999998</v>
      </c>
      <c r="D25" s="519"/>
      <c r="E25" s="520"/>
      <c r="F25" s="520"/>
    </row>
    <row r="26" spans="1:7" ht="14.1" hidden="1" customHeight="1" x14ac:dyDescent="0.25">
      <c r="A26" s="129" t="s">
        <v>153</v>
      </c>
      <c r="B26" s="394" t="s">
        <v>154</v>
      </c>
      <c r="C26" s="396">
        <f>Pool!AH11</f>
        <v>0</v>
      </c>
      <c r="D26" s="519" t="s">
        <v>179</v>
      </c>
      <c r="E26" s="520"/>
      <c r="F26" s="520"/>
    </row>
    <row r="27" spans="1:7" ht="14.1" hidden="1" customHeight="1" x14ac:dyDescent="0.25">
      <c r="A27" s="129" t="s">
        <v>164</v>
      </c>
      <c r="B27" s="394" t="s">
        <v>165</v>
      </c>
      <c r="C27" s="396">
        <f>Pool!AH12</f>
        <v>0</v>
      </c>
      <c r="D27" s="519" t="s">
        <v>169</v>
      </c>
      <c r="E27" s="520"/>
      <c r="F27" s="520"/>
    </row>
    <row r="28" spans="1:7" ht="14.1" hidden="1" customHeight="1" x14ac:dyDescent="0.25">
      <c r="A28" s="129" t="s">
        <v>166</v>
      </c>
      <c r="B28" s="394" t="s">
        <v>167</v>
      </c>
      <c r="C28" s="396">
        <f>Pool!AH13</f>
        <v>0</v>
      </c>
      <c r="D28" s="519" t="s">
        <v>170</v>
      </c>
      <c r="E28" s="520"/>
      <c r="F28" s="520"/>
    </row>
    <row r="29" spans="1:7" ht="14.1" customHeight="1" thickBot="1" x14ac:dyDescent="0.3">
      <c r="A29" s="135" t="s">
        <v>109</v>
      </c>
      <c r="B29" s="395" t="s">
        <v>175</v>
      </c>
      <c r="C29" s="397">
        <f>Pool!AH28</f>
        <v>110</v>
      </c>
      <c r="D29" s="519" t="s">
        <v>175</v>
      </c>
      <c r="E29" s="520"/>
      <c r="F29" s="520"/>
    </row>
    <row r="30" spans="1:7" ht="14.1" customHeight="1" x14ac:dyDescent="0.25">
      <c r="A30" s="116"/>
      <c r="B30" s="398" t="s">
        <v>176</v>
      </c>
      <c r="C30" s="399">
        <f>SUM(C25:C29)</f>
        <v>2725.95</v>
      </c>
      <c r="F30" s="208"/>
    </row>
    <row r="31" spans="1:7" ht="5.0999999999999996" customHeight="1" x14ac:dyDescent="0.25">
      <c r="A31" s="116"/>
      <c r="B31" s="400"/>
      <c r="C31" s="399"/>
      <c r="F31" s="208"/>
    </row>
    <row r="32" spans="1:7" ht="14.1" customHeight="1" x14ac:dyDescent="0.25">
      <c r="A32" s="116"/>
      <c r="B32" s="401" t="s">
        <v>177</v>
      </c>
      <c r="C32" s="402">
        <f>C30+C22</f>
        <v>469580.51999999996</v>
      </c>
      <c r="D32" s="520" t="s">
        <v>178</v>
      </c>
      <c r="E32" s="520"/>
      <c r="F32" s="520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1" t="s">
        <v>180</v>
      </c>
      <c r="B34" s="522"/>
      <c r="C34" s="523"/>
    </row>
    <row r="35" spans="1:6" ht="14.1" customHeight="1" x14ac:dyDescent="0.25">
      <c r="A35" s="126" t="s">
        <v>60</v>
      </c>
      <c r="B35" s="127" t="s">
        <v>86</v>
      </c>
      <c r="C35" s="155">
        <f>Pool!AL33</f>
        <v>55680.28</v>
      </c>
    </row>
    <row r="36" spans="1:6" ht="14.1" customHeight="1" x14ac:dyDescent="0.25">
      <c r="A36" s="129" t="s">
        <v>60</v>
      </c>
      <c r="B36" s="130" t="s">
        <v>88</v>
      </c>
      <c r="C36" s="156">
        <f>Pool!AM33</f>
        <v>7372.45</v>
      </c>
    </row>
    <row r="37" spans="1:6" ht="14.1" customHeight="1" x14ac:dyDescent="0.25">
      <c r="A37" s="129" t="s">
        <v>60</v>
      </c>
      <c r="B37" s="130" t="s">
        <v>87</v>
      </c>
      <c r="C37" s="156">
        <f>Pool!AL34</f>
        <v>298167.01</v>
      </c>
    </row>
    <row r="38" spans="1:6" ht="14.1" customHeight="1" x14ac:dyDescent="0.25">
      <c r="A38" s="129" t="s">
        <v>60</v>
      </c>
      <c r="B38" s="130" t="s">
        <v>89</v>
      </c>
      <c r="C38" s="156">
        <f>Pool!AM34</f>
        <v>95364.609999999986</v>
      </c>
      <c r="D38" s="264"/>
      <c r="E38" s="208"/>
    </row>
    <row r="39" spans="1:6" ht="14.1" customHeight="1" x14ac:dyDescent="0.25">
      <c r="A39" s="129" t="s">
        <v>60</v>
      </c>
      <c r="B39" s="130" t="s">
        <v>112</v>
      </c>
      <c r="C39" s="156">
        <f>Pool!AL35</f>
        <v>0</v>
      </c>
      <c r="D39" s="265"/>
      <c r="E39" s="208"/>
    </row>
    <row r="40" spans="1:6" ht="14.1" customHeight="1" x14ac:dyDescent="0.25">
      <c r="A40" s="129" t="s">
        <v>60</v>
      </c>
      <c r="B40" s="130" t="s">
        <v>113</v>
      </c>
      <c r="C40" s="156">
        <f>Pool!AM35</f>
        <v>0</v>
      </c>
      <c r="E40" s="208"/>
    </row>
    <row r="41" spans="1:6" ht="14.1" customHeight="1" x14ac:dyDescent="0.25">
      <c r="A41" s="129" t="s">
        <v>196</v>
      </c>
      <c r="B41" s="130" t="s">
        <v>197</v>
      </c>
      <c r="C41" s="156">
        <f>Pool!AL45+Pool!AM45</f>
        <v>12760.66</v>
      </c>
      <c r="E41" s="208"/>
    </row>
    <row r="42" spans="1:6" ht="14.1" customHeight="1" x14ac:dyDescent="0.25">
      <c r="A42" s="129" t="s">
        <v>32</v>
      </c>
      <c r="B42" s="130" t="s">
        <v>90</v>
      </c>
      <c r="C42" s="156">
        <f>Pool!AL43</f>
        <v>107.50999999999294</v>
      </c>
      <c r="D42" s="524"/>
      <c r="E42" s="525"/>
      <c r="F42" s="525"/>
    </row>
    <row r="43" spans="1:6" ht="14.1" customHeight="1" x14ac:dyDescent="0.25">
      <c r="A43" s="359" t="s">
        <v>67</v>
      </c>
      <c r="B43" s="360" t="s">
        <v>91</v>
      </c>
      <c r="C43" s="377">
        <f>Pool!AL37</f>
        <v>0</v>
      </c>
    </row>
    <row r="44" spans="1:6" ht="14.1" customHeight="1" thickBot="1" x14ac:dyDescent="0.3">
      <c r="A44" s="135" t="s">
        <v>109</v>
      </c>
      <c r="B44" s="136" t="s">
        <v>172</v>
      </c>
      <c r="C44" s="157">
        <f>Pool!AL38</f>
        <v>128</v>
      </c>
    </row>
    <row r="45" spans="1:6" ht="12.75" customHeight="1" x14ac:dyDescent="0.25">
      <c r="A45" s="203"/>
      <c r="B45" s="206" t="s">
        <v>65</v>
      </c>
      <c r="C45" s="207">
        <f>SUM(C35:C44)</f>
        <v>469580.51999999996</v>
      </c>
    </row>
    <row r="46" spans="1:6" ht="5.0999999999999996" customHeight="1" thickBot="1" x14ac:dyDescent="0.3">
      <c r="D46" s="207"/>
      <c r="E46" s="208"/>
    </row>
    <row r="47" spans="1:6" ht="14.1" customHeight="1" x14ac:dyDescent="0.25">
      <c r="B47" s="126" t="s">
        <v>57</v>
      </c>
      <c r="C47" s="234">
        <f>Pool!AJ47</f>
        <v>19362</v>
      </c>
    </row>
    <row r="48" spans="1:6" ht="14.1" customHeight="1" x14ac:dyDescent="0.25">
      <c r="B48" s="129" t="s">
        <v>58</v>
      </c>
      <c r="C48" s="235">
        <f>Pool!AJ48</f>
        <v>3057</v>
      </c>
    </row>
    <row r="49" spans="1:5" ht="14.1" customHeight="1" thickBot="1" x14ac:dyDescent="0.3">
      <c r="B49" s="236" t="s">
        <v>106</v>
      </c>
      <c r="C49" s="237">
        <f>C47+C48</f>
        <v>22419</v>
      </c>
    </row>
    <row r="50" spans="1:5" ht="5.0999999999999996" customHeight="1" thickBot="1" x14ac:dyDescent="0.3"/>
    <row r="51" spans="1:5" ht="14.1" customHeight="1" thickBot="1" x14ac:dyDescent="0.3">
      <c r="B51" s="238" t="s">
        <v>116</v>
      </c>
      <c r="C51" s="239">
        <f>Pool!AJ54</f>
        <v>17.588895367254747</v>
      </c>
    </row>
    <row r="52" spans="1:5" ht="5.0999999999999996" customHeight="1" thickBot="1" x14ac:dyDescent="0.3"/>
    <row r="53" spans="1:5" ht="14.1" customHeight="1" thickBot="1" x14ac:dyDescent="0.3">
      <c r="A53" s="262"/>
      <c r="B53" s="297" t="s">
        <v>128</v>
      </c>
      <c r="C53" s="298" t="s">
        <v>139</v>
      </c>
    </row>
    <row r="54" spans="1:5" ht="14.1" customHeight="1" x14ac:dyDescent="0.25">
      <c r="B54" s="83" t="s">
        <v>133</v>
      </c>
      <c r="C54" s="309">
        <f>Pool!AJ57</f>
        <v>100.32142857142857</v>
      </c>
    </row>
    <row r="55" spans="1:5" ht="14.1" customHeight="1" x14ac:dyDescent="0.25">
      <c r="A55" s="262"/>
      <c r="B55" s="310" t="s">
        <v>134</v>
      </c>
      <c r="C55" s="311">
        <f>Pool!AJ58</f>
        <v>83.285714285714292</v>
      </c>
    </row>
    <row r="56" spans="1:5" ht="14.1" customHeight="1" x14ac:dyDescent="0.25">
      <c r="B56" s="310" t="s">
        <v>136</v>
      </c>
      <c r="C56" s="311">
        <f>Pool!AJ59</f>
        <v>77.821428571428569</v>
      </c>
    </row>
    <row r="57" spans="1:5" ht="14.1" customHeight="1" thickBot="1" x14ac:dyDescent="0.3">
      <c r="B57" s="312" t="s">
        <v>140</v>
      </c>
      <c r="C57" s="313">
        <f>Pool!AJ60</f>
        <v>0</v>
      </c>
    </row>
    <row r="58" spans="1:5" x14ac:dyDescent="0.25">
      <c r="A58" s="374"/>
      <c r="B58" s="374"/>
      <c r="C58" s="374"/>
      <c r="E58" s="374"/>
    </row>
    <row r="59" spans="1:5" x14ac:dyDescent="0.25">
      <c r="D59" s="374"/>
    </row>
  </sheetData>
  <sheetProtection algorithmName="SHA-512" hashValue="hFyhSAWmjzCD8WZ1UeQu+EF5xOmnDeOnZ7vfLkjTs7JpV2/rfVHoQnSuh+cXj2TXXWoQZb/R/rhDAB6tT6BQfg==" saltValue="BN8FZzPi4Dmq9OTODoYpcA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2:F42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16" sqref="G16"/>
    </sheetView>
  </sheetViews>
  <sheetFormatPr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2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4" t="s">
        <v>115</v>
      </c>
      <c r="B1" s="252" t="str">
        <f>CONCATENATE('Cash Flow'!C1, "  ",'Cash Flow'!D1)</f>
        <v>June  2024</v>
      </c>
    </row>
    <row r="2" spans="1:5" ht="15.75" thickBot="1" x14ac:dyDescent="0.3"/>
    <row r="3" spans="1:5" x14ac:dyDescent="0.25">
      <c r="A3" s="248" t="s">
        <v>61</v>
      </c>
      <c r="B3" s="249" t="s">
        <v>100</v>
      </c>
      <c r="C3" s="128">
        <f>'Box Canon'!AH3+'Box Canon'!AH9</f>
        <v>1215.56</v>
      </c>
      <c r="D3" s="116"/>
    </row>
    <row r="4" spans="1:5" x14ac:dyDescent="0.25">
      <c r="A4" s="250" t="s">
        <v>69</v>
      </c>
      <c r="B4" s="251" t="s">
        <v>70</v>
      </c>
      <c r="C4" s="131">
        <f>'Box Canon'!AH4+'Box Canon'!AH10</f>
        <v>130034</v>
      </c>
      <c r="D4" s="116"/>
    </row>
    <row r="5" spans="1:5" x14ac:dyDescent="0.25">
      <c r="A5" s="250" t="s">
        <v>80</v>
      </c>
      <c r="B5" s="251" t="s">
        <v>101</v>
      </c>
      <c r="C5" s="131">
        <f>'Box Canon'!AH5+'Box Canon'!AH11</f>
        <v>175.94</v>
      </c>
      <c r="D5" s="116"/>
    </row>
    <row r="6" spans="1:5" x14ac:dyDescent="0.25">
      <c r="A6" s="250" t="s">
        <v>79</v>
      </c>
      <c r="B6" s="251" t="s">
        <v>102</v>
      </c>
      <c r="C6" s="131">
        <f>'Box Canon'!AH6+'Box Canon'!AH12</f>
        <v>12809.540000000003</v>
      </c>
      <c r="D6" s="116"/>
    </row>
    <row r="7" spans="1:5" x14ac:dyDescent="0.25">
      <c r="A7" s="250" t="s">
        <v>79</v>
      </c>
      <c r="B7" s="251" t="s">
        <v>81</v>
      </c>
      <c r="C7" s="131">
        <f>'Box Canon'!AH7+'Box Canon'!AH13</f>
        <v>39.53</v>
      </c>
      <c r="D7" s="116"/>
    </row>
    <row r="8" spans="1:5" x14ac:dyDescent="0.25">
      <c r="A8" s="250"/>
      <c r="B8" s="251"/>
      <c r="C8" s="131"/>
      <c r="D8" s="116"/>
    </row>
    <row r="9" spans="1:5" x14ac:dyDescent="0.25">
      <c r="A9" s="129" t="s">
        <v>84</v>
      </c>
      <c r="B9" s="130" t="s">
        <v>96</v>
      </c>
      <c r="C9" s="131">
        <f>-('Box Canon'!AH26+'Box Canon'!AH27)</f>
        <v>17.489999999999554</v>
      </c>
      <c r="D9" s="116"/>
    </row>
    <row r="10" spans="1:5" ht="15.75" thickBot="1" x14ac:dyDescent="0.3">
      <c r="A10" s="180"/>
      <c r="B10" s="181"/>
      <c r="C10" s="182"/>
      <c r="D10" s="252"/>
      <c r="E10" s="168"/>
    </row>
    <row r="11" spans="1:5" x14ac:dyDescent="0.25">
      <c r="A11" s="116"/>
      <c r="B11" s="246" t="s">
        <v>64</v>
      </c>
      <c r="C11" s="204"/>
      <c r="D11" s="247">
        <f>SUM(C3:C9)</f>
        <v>144292.06</v>
      </c>
    </row>
    <row r="12" spans="1:5" ht="15.75" thickBot="1" x14ac:dyDescent="0.3">
      <c r="C12" s="154"/>
    </row>
    <row r="13" spans="1:5" x14ac:dyDescent="0.25">
      <c r="A13" s="126" t="s">
        <v>60</v>
      </c>
      <c r="B13" s="127" t="s">
        <v>92</v>
      </c>
      <c r="C13" s="128">
        <f>'Box Canon'!AL20</f>
        <v>38457.900000000016</v>
      </c>
    </row>
    <row r="14" spans="1:5" x14ac:dyDescent="0.25">
      <c r="A14" s="129" t="s">
        <v>60</v>
      </c>
      <c r="B14" s="130" t="s">
        <v>94</v>
      </c>
      <c r="C14" s="131">
        <f>'Box Canon'!AM20</f>
        <v>4474.7300000000005</v>
      </c>
    </row>
    <row r="15" spans="1:5" x14ac:dyDescent="0.25">
      <c r="A15" s="129" t="s">
        <v>60</v>
      </c>
      <c r="B15" s="130" t="s">
        <v>93</v>
      </c>
      <c r="C15" s="131">
        <f>'Box Canon'!AL21</f>
        <v>73535.839999999982</v>
      </c>
      <c r="E15" s="253">
        <f>D11-D22</f>
        <v>0</v>
      </c>
    </row>
    <row r="16" spans="1:5" x14ac:dyDescent="0.25">
      <c r="A16" s="129" t="s">
        <v>60</v>
      </c>
      <c r="B16" s="130" t="s">
        <v>95</v>
      </c>
      <c r="C16" s="131">
        <f>'Box Canon'!AM21</f>
        <v>24635.330000000005</v>
      </c>
    </row>
    <row r="17" spans="1:4" x14ac:dyDescent="0.25">
      <c r="A17" s="129" t="s">
        <v>60</v>
      </c>
      <c r="B17" s="130" t="s">
        <v>207</v>
      </c>
      <c r="C17" s="131">
        <f>'Box Canon'!AL22</f>
        <v>21</v>
      </c>
    </row>
    <row r="18" spans="1:4" x14ac:dyDescent="0.25">
      <c r="A18" s="129" t="s">
        <v>60</v>
      </c>
      <c r="B18" s="130" t="s">
        <v>208</v>
      </c>
      <c r="C18" s="131">
        <f>'Box Canon'!AM22</f>
        <v>0</v>
      </c>
    </row>
    <row r="19" spans="1:4" x14ac:dyDescent="0.25">
      <c r="A19" s="129" t="s">
        <v>203</v>
      </c>
      <c r="B19" s="130" t="s">
        <v>224</v>
      </c>
      <c r="C19" s="131">
        <f>'Box Canon'!AL29+'Box Canon'!AM29</f>
        <v>3167.26</v>
      </c>
    </row>
    <row r="20" spans="1:4" x14ac:dyDescent="0.25">
      <c r="A20" s="129"/>
      <c r="B20" s="130"/>
      <c r="C20" s="131"/>
    </row>
    <row r="21" spans="1:4" ht="15.75" thickBot="1" x14ac:dyDescent="0.3">
      <c r="A21" s="180"/>
      <c r="B21" s="181"/>
      <c r="C21" s="182"/>
      <c r="D21" s="168"/>
    </row>
    <row r="22" spans="1:4" x14ac:dyDescent="0.25">
      <c r="B22" s="246" t="s">
        <v>65</v>
      </c>
      <c r="C22" s="204"/>
      <c r="D22" s="247">
        <f>SUM(C13:C20)</f>
        <v>144292.06000000003</v>
      </c>
    </row>
    <row r="23" spans="1:4" ht="15.75" thickBot="1" x14ac:dyDescent="0.3"/>
    <row r="24" spans="1:4" x14ac:dyDescent="0.25">
      <c r="B24" s="526" t="s">
        <v>57</v>
      </c>
      <c r="C24" s="527"/>
    </row>
    <row r="25" spans="1:4" x14ac:dyDescent="0.25">
      <c r="B25" s="142" t="s">
        <v>75</v>
      </c>
      <c r="C25" s="144">
        <f>'Box Canon'!AJ32</f>
        <v>12922</v>
      </c>
    </row>
    <row r="26" spans="1:4" x14ac:dyDescent="0.25">
      <c r="B26" s="142" t="s">
        <v>74</v>
      </c>
      <c r="C26" s="144">
        <f>'Box Canon'!AJ33</f>
        <v>4371</v>
      </c>
    </row>
    <row r="27" spans="1:4" x14ac:dyDescent="0.25">
      <c r="B27" s="142" t="s">
        <v>199</v>
      </c>
      <c r="C27" s="144">
        <f>'Box Canon'!AJ34</f>
        <v>406</v>
      </c>
    </row>
    <row r="28" spans="1:4" x14ac:dyDescent="0.25">
      <c r="B28" s="142" t="s">
        <v>72</v>
      </c>
      <c r="C28" s="144">
        <f>'Box Canon'!AJ35</f>
        <v>175</v>
      </c>
    </row>
    <row r="29" spans="1:4" x14ac:dyDescent="0.25">
      <c r="B29" s="142" t="s">
        <v>73</v>
      </c>
      <c r="C29" s="144">
        <f>'Box Canon'!AJ36</f>
        <v>2777</v>
      </c>
    </row>
    <row r="30" spans="1:4" x14ac:dyDescent="0.25">
      <c r="B30" s="142" t="s">
        <v>71</v>
      </c>
      <c r="C30" s="144">
        <f>'Box Canon'!AJ37</f>
        <v>551</v>
      </c>
    </row>
    <row r="31" spans="1:4" x14ac:dyDescent="0.25">
      <c r="B31" s="129"/>
      <c r="C31" s="243"/>
    </row>
    <row r="32" spans="1:4" ht="15.75" thickBot="1" x14ac:dyDescent="0.3">
      <c r="B32" s="244" t="s">
        <v>76</v>
      </c>
      <c r="C32" s="245">
        <f>SUM(C25:C30)</f>
        <v>21202</v>
      </c>
    </row>
  </sheetData>
  <sheetProtection algorithmName="SHA-512" hashValue="BLXn8LytUq/iFd0HpeqUr5HSKPJPry1zvpgvFuWtymHSfK7/ef9RsZj/cn79IEWSElmiWJxSvui96R5gyjuYtA==" saltValue="k+cpiX5q6a5J3miBrAsJxA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5" sqref="E25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4" t="s">
        <v>209</v>
      </c>
      <c r="B1" s="252" t="str">
        <f>CONCATENATE('Cash Flow'!C1, " ",'Cash Flow'!D1)</f>
        <v>June 2024</v>
      </c>
    </row>
    <row r="2" spans="1:5" ht="15.75" thickBot="1" x14ac:dyDescent="0.3"/>
    <row r="3" spans="1:5" x14ac:dyDescent="0.25">
      <c r="A3" s="248" t="s">
        <v>61</v>
      </c>
      <c r="B3" s="249" t="s">
        <v>217</v>
      </c>
      <c r="C3" s="128">
        <f>'Visitor Center'!AH3</f>
        <v>286.90000000000003</v>
      </c>
      <c r="D3" s="116"/>
    </row>
    <row r="4" spans="1:5" x14ac:dyDescent="0.25">
      <c r="A4" s="250" t="s">
        <v>210</v>
      </c>
      <c r="B4" s="251" t="s">
        <v>211</v>
      </c>
      <c r="C4" s="131">
        <f>'Visitor Center'!AH4</f>
        <v>3035.7499999999991</v>
      </c>
      <c r="D4" s="116"/>
    </row>
    <row r="5" spans="1:5" x14ac:dyDescent="0.25">
      <c r="A5" s="250" t="s">
        <v>210</v>
      </c>
      <c r="B5" s="251" t="s">
        <v>234</v>
      </c>
      <c r="C5" s="131">
        <f>'Visitor Center'!AH5</f>
        <v>498</v>
      </c>
      <c r="D5" s="116"/>
    </row>
    <row r="6" spans="1:5" x14ac:dyDescent="0.25">
      <c r="A6" s="250" t="s">
        <v>210</v>
      </c>
      <c r="B6" s="251" t="s">
        <v>233</v>
      </c>
      <c r="C6" s="131">
        <f>'Visitor Center'!AH6</f>
        <v>328.25</v>
      </c>
      <c r="D6" s="116"/>
    </row>
    <row r="7" spans="1:5" x14ac:dyDescent="0.25">
      <c r="A7" s="250" t="s">
        <v>214</v>
      </c>
      <c r="B7" s="130" t="s">
        <v>215</v>
      </c>
      <c r="C7" s="131">
        <f>-'Visitor Center'!AL13</f>
        <v>7.0500000000000398</v>
      </c>
      <c r="D7" s="116"/>
    </row>
    <row r="8" spans="1:5" ht="15.75" thickBot="1" x14ac:dyDescent="0.3">
      <c r="A8" s="180"/>
      <c r="B8" s="181"/>
      <c r="C8" s="182"/>
      <c r="D8" s="252"/>
      <c r="E8" s="168"/>
    </row>
    <row r="9" spans="1:5" x14ac:dyDescent="0.25">
      <c r="A9" s="116"/>
      <c r="B9" s="246" t="s">
        <v>64</v>
      </c>
      <c r="C9" s="204"/>
      <c r="D9" s="247">
        <f>SUM(C3:C7)</f>
        <v>4155.95</v>
      </c>
    </row>
    <row r="10" spans="1:5" ht="15.75" thickBot="1" x14ac:dyDescent="0.3">
      <c r="C10" s="154"/>
    </row>
    <row r="11" spans="1:5" x14ac:dyDescent="0.25">
      <c r="A11" s="126" t="s">
        <v>60</v>
      </c>
      <c r="B11" s="127" t="s">
        <v>218</v>
      </c>
      <c r="C11" s="128">
        <f>'Visitor Center'!AL9</f>
        <v>715.34999999999991</v>
      </c>
    </row>
    <row r="12" spans="1:5" x14ac:dyDescent="0.25">
      <c r="A12" s="129" t="s">
        <v>60</v>
      </c>
      <c r="B12" s="130" t="s">
        <v>219</v>
      </c>
      <c r="C12" s="131">
        <f>'Visitor Center'!AM9</f>
        <v>248.45000000000002</v>
      </c>
    </row>
    <row r="13" spans="1:5" x14ac:dyDescent="0.25">
      <c r="A13" s="129" t="s">
        <v>60</v>
      </c>
      <c r="B13" s="130" t="s">
        <v>220</v>
      </c>
      <c r="C13" s="131">
        <f>'Visitor Center'!AL10</f>
        <v>2639.9700000000003</v>
      </c>
      <c r="E13" s="253">
        <f>D9-D18</f>
        <v>0</v>
      </c>
    </row>
    <row r="14" spans="1:5" x14ac:dyDescent="0.25">
      <c r="A14" s="129" t="s">
        <v>60</v>
      </c>
      <c r="B14" s="130" t="s">
        <v>221</v>
      </c>
      <c r="C14" s="131">
        <f>'Visitor Center'!AM10</f>
        <v>452.63</v>
      </c>
    </row>
    <row r="15" spans="1:5" x14ac:dyDescent="0.25">
      <c r="A15" s="129" t="s">
        <v>216</v>
      </c>
      <c r="B15" s="130" t="s">
        <v>223</v>
      </c>
      <c r="C15" s="131">
        <f>'Visitor Center'!AL15+'Visitor Center'!AM15</f>
        <v>99.549999999999983</v>
      </c>
    </row>
    <row r="16" spans="1:5" x14ac:dyDescent="0.25">
      <c r="A16" s="129"/>
      <c r="B16" s="130"/>
      <c r="C16" s="131"/>
    </row>
    <row r="17" spans="1:4" ht="15.75" thickBot="1" x14ac:dyDescent="0.3">
      <c r="A17" s="180"/>
      <c r="B17" s="181"/>
      <c r="C17" s="182"/>
      <c r="D17" s="168"/>
    </row>
    <row r="18" spans="1:4" x14ac:dyDescent="0.25">
      <c r="B18" s="246" t="s">
        <v>65</v>
      </c>
      <c r="C18" s="204"/>
      <c r="D18" s="247">
        <f>SUM(C11:C16)</f>
        <v>4155.9500000000007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Box Canon</vt:lpstr>
      <vt:lpstr>Visitor Center</vt:lpstr>
      <vt:lpstr>POOL JE</vt:lpstr>
      <vt:lpstr>Box Cañon JE</vt:lpstr>
      <vt:lpstr>Visitor Center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2024-07-05T17:34:16Z</cp:lastPrinted>
  <dcterms:created xsi:type="dcterms:W3CDTF">2017-08-14T15:26:56Z</dcterms:created>
  <dcterms:modified xsi:type="dcterms:W3CDTF">2024-07-05T17:34:18Z</dcterms:modified>
</cp:coreProperties>
</file>