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2\"/>
    </mc:Choice>
  </mc:AlternateContent>
  <bookViews>
    <workbookView xWindow="0" yWindow="0" windowWidth="20490" windowHeight="8340" activeTab="2"/>
  </bookViews>
  <sheets>
    <sheet name="Cash Flow" sheetId="2" r:id="rId1"/>
    <sheet name="Pool" sheetId="3" r:id="rId2"/>
    <sheet name="Box Canon" sheetId="9" r:id="rId3"/>
    <sheet name="Visitor Center" sheetId="10" r:id="rId4"/>
    <sheet name="POOL JE" sheetId="5" r:id="rId5"/>
    <sheet name="Box Cañon JE" sheetId="7" r:id="rId6"/>
    <sheet name="Visitor Center JE" sheetId="11" r:id="rId7"/>
    <sheet name="Pool Stats" sheetId="8" r:id="rId8"/>
  </sheets>
  <externalReferences>
    <externalReference r:id="rId9"/>
  </externalReferences>
  <definedNames>
    <definedName name="_xlnm.Print_Area" localSheetId="2">'Box Canon'!$A$2:$AH$46</definedName>
    <definedName name="_xlnm.Print_Area" localSheetId="5">'Box Cañon JE'!$A$1:$D$33</definedName>
    <definedName name="_xlnm.Print_Area" localSheetId="1">Pool!$A$1:$AH$54</definedName>
    <definedName name="_xlnm.Print_Area" localSheetId="4">'POOL JE'!$A$1:$C$60</definedName>
    <definedName name="_xlnm.Print_Area" localSheetId="3">'Visitor Center'!$A$1:$AH$14</definedName>
    <definedName name="_xlnm.Print_Area" localSheetId="6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7" i="10" l="1"/>
  <c r="Z39" i="3" l="1"/>
  <c r="AM7" i="10"/>
  <c r="AH27" i="9"/>
  <c r="AL22" i="9"/>
  <c r="AM22" i="9"/>
  <c r="AH24" i="9"/>
  <c r="AM29" i="9"/>
  <c r="AM21" i="9"/>
  <c r="AL21" i="9"/>
  <c r="AL29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M20" i="9" l="1"/>
  <c r="AL20" i="9"/>
  <c r="AL8" i="10"/>
  <c r="AL13" i="10"/>
  <c r="AM8" i="10"/>
  <c r="AM13" i="10"/>
  <c r="AH45" i="3" l="1"/>
  <c r="AH29" i="9"/>
  <c r="AG44" i="9"/>
  <c r="AG43" i="9"/>
  <c r="AG40" i="9"/>
  <c r="AG39" i="9"/>
  <c r="AM35" i="3" l="1"/>
  <c r="AM45" i="3"/>
  <c r="AM34" i="3" s="1"/>
  <c r="AL45" i="3"/>
  <c r="AL34" i="3"/>
  <c r="AF44" i="9" l="1"/>
  <c r="AF43" i="9"/>
  <c r="AF41" i="9"/>
  <c r="AF40" i="9"/>
  <c r="AF39" i="9"/>
  <c r="AE44" i="9"/>
  <c r="AE43" i="9"/>
  <c r="AE41" i="9"/>
  <c r="AE40" i="9"/>
  <c r="AE39" i="9"/>
  <c r="AM33" i="3"/>
  <c r="AL33" i="3"/>
  <c r="AD43" i="9" l="1"/>
  <c r="AD41" i="9"/>
  <c r="AD40" i="9"/>
  <c r="AD39" i="9"/>
  <c r="AC44" i="9"/>
  <c r="AC43" i="9"/>
  <c r="AC41" i="9"/>
  <c r="AC40" i="9"/>
  <c r="AC39" i="9"/>
  <c r="AC36" i="9"/>
  <c r="AC34" i="9"/>
  <c r="AC33" i="9"/>
  <c r="AC32" i="9"/>
  <c r="AC4" i="9"/>
  <c r="AB44" i="9"/>
  <c r="AB43" i="9"/>
  <c r="AB40" i="9"/>
  <c r="AB39" i="9"/>
  <c r="C54" i="3" l="1"/>
  <c r="D54" i="3"/>
  <c r="E54" i="3"/>
  <c r="F54" i="3"/>
  <c r="G54" i="3"/>
  <c r="H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I54" i="3"/>
  <c r="AA43" i="9" l="1"/>
  <c r="AA40" i="9"/>
  <c r="AA39" i="9"/>
  <c r="Z43" i="9"/>
  <c r="Z40" i="9"/>
  <c r="Z39" i="9"/>
  <c r="AH23" i="9"/>
  <c r="AH22" i="9"/>
  <c r="Z26" i="9"/>
  <c r="H43" i="3" l="1"/>
  <c r="Y44" i="9" l="1"/>
  <c r="Y43" i="9"/>
  <c r="Y41" i="9"/>
  <c r="Y40" i="9"/>
  <c r="Y39" i="9"/>
  <c r="Y32" i="9"/>
  <c r="Y4" i="9"/>
  <c r="X44" i="9"/>
  <c r="X43" i="9"/>
  <c r="X41" i="9"/>
  <c r="X40" i="9"/>
  <c r="X39" i="9"/>
  <c r="W44" i="9" l="1"/>
  <c r="W43" i="9"/>
  <c r="W40" i="9"/>
  <c r="W39" i="9"/>
  <c r="U44" i="9"/>
  <c r="U43" i="9"/>
  <c r="U40" i="9"/>
  <c r="U39" i="9"/>
  <c r="V44" i="9"/>
  <c r="V43" i="9"/>
  <c r="V41" i="9"/>
  <c r="V40" i="9"/>
  <c r="V39" i="9"/>
  <c r="V4" i="9"/>
  <c r="V36" i="9"/>
  <c r="V33" i="9"/>
  <c r="V32" i="9"/>
  <c r="T44" i="9" l="1"/>
  <c r="T43" i="9"/>
  <c r="T41" i="9"/>
  <c r="T40" i="9"/>
  <c r="T39" i="9"/>
  <c r="S44" i="9"/>
  <c r="S43" i="9"/>
  <c r="S40" i="9"/>
  <c r="S39" i="9"/>
  <c r="M45" i="3"/>
  <c r="R44" i="9" l="1"/>
  <c r="R43" i="9"/>
  <c r="R40" i="9"/>
  <c r="R39" i="9"/>
  <c r="R4" i="9"/>
  <c r="R36" i="9"/>
  <c r="Q44" i="9"/>
  <c r="Q43" i="9"/>
  <c r="Q41" i="9"/>
  <c r="Q40" i="9"/>
  <c r="Q39" i="9"/>
  <c r="K43" i="3" l="1"/>
  <c r="AG1" i="10"/>
  <c r="AF1" i="10"/>
  <c r="Y1" i="10"/>
  <c r="X1" i="10"/>
  <c r="Q1" i="10"/>
  <c r="P1" i="10"/>
  <c r="I1" i="10"/>
  <c r="H1" i="10"/>
  <c r="C1" i="10" a="1"/>
  <c r="AE1" i="10" s="1"/>
  <c r="J1" i="10" l="1"/>
  <c r="R1" i="10"/>
  <c r="Z1" i="10"/>
  <c r="C1" i="10"/>
  <c r="K1" i="10"/>
  <c r="S1" i="10"/>
  <c r="AA1" i="10"/>
  <c r="D1" i="10"/>
  <c r="L1" i="10"/>
  <c r="T1" i="10"/>
  <c r="AB1" i="10"/>
  <c r="E1" i="10"/>
  <c r="M1" i="10"/>
  <c r="U1" i="10"/>
  <c r="AC1" i="10"/>
  <c r="F1" i="10"/>
  <c r="N1" i="10"/>
  <c r="V1" i="10"/>
  <c r="AD1" i="10"/>
  <c r="G1" i="10"/>
  <c r="O1" i="10"/>
  <c r="W1" i="10"/>
  <c r="P44" i="9"/>
  <c r="P43" i="9"/>
  <c r="P41" i="9"/>
  <c r="P40" i="9"/>
  <c r="P39" i="9"/>
  <c r="O44" i="9"/>
  <c r="O43" i="9"/>
  <c r="O41" i="9"/>
  <c r="O40" i="9"/>
  <c r="O39" i="9"/>
  <c r="O32" i="9"/>
  <c r="O4" i="9"/>
  <c r="N44" i="9"/>
  <c r="N43" i="9"/>
  <c r="N41" i="9"/>
  <c r="N40" i="9"/>
  <c r="N39" i="9"/>
  <c r="M43" i="9"/>
  <c r="M44" i="9"/>
  <c r="M41" i="9"/>
  <c r="M40" i="9"/>
  <c r="M39" i="9"/>
  <c r="L44" i="9"/>
  <c r="L43" i="9"/>
  <c r="L40" i="9"/>
  <c r="L39" i="9"/>
  <c r="E27" i="9" l="1"/>
  <c r="D45" i="3" l="1"/>
  <c r="G45" i="3"/>
  <c r="E45" i="3"/>
  <c r="C45" i="3"/>
  <c r="K44" i="9"/>
  <c r="K43" i="9"/>
  <c r="K41" i="9"/>
  <c r="K40" i="9"/>
  <c r="K39" i="9"/>
  <c r="J44" i="9"/>
  <c r="J43" i="9"/>
  <c r="J41" i="9"/>
  <c r="J40" i="9"/>
  <c r="J39" i="9"/>
  <c r="C29" i="9" l="1"/>
  <c r="G29" i="9"/>
  <c r="E29" i="9"/>
  <c r="D29" i="9"/>
  <c r="E4" i="9" l="1"/>
  <c r="E43" i="9"/>
  <c r="E36" i="9"/>
  <c r="I44" i="9"/>
  <c r="I43" i="9"/>
  <c r="I41" i="9"/>
  <c r="I40" i="9"/>
  <c r="I39" i="9"/>
  <c r="H44" i="9"/>
  <c r="H43" i="9"/>
  <c r="H41" i="9"/>
  <c r="H40" i="9"/>
  <c r="H39" i="9"/>
  <c r="G44" i="9"/>
  <c r="G43" i="9"/>
  <c r="G41" i="9"/>
  <c r="G40" i="9"/>
  <c r="G39" i="9"/>
  <c r="F44" i="9"/>
  <c r="F43" i="9"/>
  <c r="F42" i="9"/>
  <c r="F40" i="9"/>
  <c r="F39" i="9"/>
  <c r="E44" i="9" l="1"/>
  <c r="E41" i="9"/>
  <c r="E40" i="9"/>
  <c r="E39" i="9"/>
  <c r="D44" i="9"/>
  <c r="D43" i="9"/>
  <c r="D41" i="9"/>
  <c r="D40" i="9"/>
  <c r="D39" i="9"/>
  <c r="C44" i="9"/>
  <c r="C43" i="9"/>
  <c r="C41" i="9"/>
  <c r="C40" i="9"/>
  <c r="C39" i="9"/>
  <c r="C14" i="11"/>
  <c r="AL35" i="3"/>
  <c r="AH8" i="3"/>
  <c r="AH7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5" i="11"/>
  <c r="C11" i="11"/>
  <c r="C13" i="11"/>
  <c r="C10" i="11"/>
  <c r="B1" i="11"/>
  <c r="B1" i="10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AH7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H4" i="10"/>
  <c r="C4" i="11" s="1"/>
  <c r="AH3" i="10"/>
  <c r="C3" i="11" s="1"/>
  <c r="C12" i="11" l="1"/>
  <c r="D17" i="11" s="1"/>
  <c r="C6" i="5"/>
  <c r="AH9" i="10"/>
  <c r="AH11" i="10"/>
  <c r="AL11" i="10" s="1"/>
  <c r="C6" i="11" s="1"/>
  <c r="D8" i="11" s="1"/>
  <c r="AL9" i="10" l="1"/>
  <c r="AM12" i="10" s="1"/>
  <c r="AN12" i="10" s="1"/>
  <c r="E12" i="11"/>
  <c r="AN9" i="10" l="1"/>
  <c r="C18" i="7"/>
  <c r="C17" i="7"/>
  <c r="C19" i="7" l="1"/>
  <c r="C20" i="7"/>
  <c r="S41" i="9" l="1"/>
  <c r="U41" i="9"/>
  <c r="W41" i="9"/>
  <c r="AA41" i="9"/>
  <c r="AB41" i="9"/>
  <c r="L34" i="9"/>
  <c r="S34" i="9"/>
  <c r="U34" i="9"/>
  <c r="Z34" i="9"/>
  <c r="AA34" i="9"/>
  <c r="AB34" i="9"/>
  <c r="AG34" i="9"/>
  <c r="AH34" i="9" l="1"/>
  <c r="AH41" i="9"/>
  <c r="AJ34" i="9" l="1"/>
  <c r="C27" i="7" s="1"/>
  <c r="C41" i="5"/>
  <c r="C42" i="5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AD44" i="9" l="1"/>
  <c r="AA44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R42" i="9"/>
  <c r="Q42" i="9"/>
  <c r="P42" i="9"/>
  <c r="N42" i="9"/>
  <c r="M42" i="9"/>
  <c r="L42" i="9"/>
  <c r="K42" i="9"/>
  <c r="J42" i="9"/>
  <c r="I42" i="9"/>
  <c r="H42" i="9"/>
  <c r="G42" i="9"/>
  <c r="E42" i="9"/>
  <c r="C42" i="9"/>
  <c r="D35" i="9"/>
  <c r="G35" i="9"/>
  <c r="I35" i="9"/>
  <c r="J35" i="9"/>
  <c r="K35" i="9"/>
  <c r="L35" i="9"/>
  <c r="M35" i="9"/>
  <c r="N35" i="9"/>
  <c r="O35" i="9"/>
  <c r="P35" i="9"/>
  <c r="Q35" i="9"/>
  <c r="S35" i="9"/>
  <c r="T35" i="9"/>
  <c r="U35" i="9"/>
  <c r="V35" i="9"/>
  <c r="W35" i="9"/>
  <c r="X35" i="9"/>
  <c r="Y35" i="9"/>
  <c r="Y38" i="9" s="1"/>
  <c r="Z35" i="9"/>
  <c r="AA35" i="9"/>
  <c r="AB35" i="9"/>
  <c r="AC35" i="9"/>
  <c r="AD35" i="9"/>
  <c r="AE35" i="9"/>
  <c r="AF35" i="9"/>
  <c r="AG35" i="9"/>
  <c r="C35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T26" i="9"/>
  <c r="X26" i="9"/>
  <c r="AB26" i="9"/>
  <c r="AF26" i="9"/>
  <c r="AH18" i="9"/>
  <c r="A19" i="9"/>
  <c r="T27" i="9"/>
  <c r="V27" i="9"/>
  <c r="X27" i="9"/>
  <c r="Z27" i="9"/>
  <c r="AB27" i="9"/>
  <c r="AD27" i="9"/>
  <c r="AF27" i="9"/>
  <c r="AH19" i="9"/>
  <c r="A20" i="9"/>
  <c r="AH20" i="9"/>
  <c r="A21" i="9"/>
  <c r="AH21" i="9"/>
  <c r="C26" i="9"/>
  <c r="E26" i="9"/>
  <c r="G26" i="9"/>
  <c r="I26" i="9"/>
  <c r="K26" i="9"/>
  <c r="M26" i="9"/>
  <c r="O26" i="9"/>
  <c r="Q26" i="9"/>
  <c r="S26" i="9"/>
  <c r="U26" i="9"/>
  <c r="W26" i="9"/>
  <c r="Y26" i="9"/>
  <c r="AA26" i="9"/>
  <c r="AC26" i="9"/>
  <c r="AE26" i="9"/>
  <c r="AG26" i="9"/>
  <c r="C27" i="9"/>
  <c r="D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U27" i="9"/>
  <c r="W27" i="9"/>
  <c r="Y27" i="9"/>
  <c r="AA27" i="9"/>
  <c r="AC27" i="9"/>
  <c r="AE27" i="9"/>
  <c r="AG27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15" i="9"/>
  <c r="AH8" i="9"/>
  <c r="AF46" i="9"/>
  <c r="AB46" i="9"/>
  <c r="X46" i="9"/>
  <c r="T46" i="9"/>
  <c r="AH33" i="9"/>
  <c r="AD26" i="9"/>
  <c r="V26" i="9"/>
  <c r="R26" i="9"/>
  <c r="N26" i="9"/>
  <c r="AH26" i="9" s="1"/>
  <c r="AL24" i="9" s="1"/>
  <c r="AL25" i="9" s="1"/>
  <c r="AN25" i="9" s="1"/>
  <c r="J26" i="9"/>
  <c r="F26" i="9"/>
  <c r="T38" i="9"/>
  <c r="P26" i="9"/>
  <c r="L26" i="9"/>
  <c r="H26" i="9"/>
  <c r="D26" i="9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C9" i="7" l="1"/>
  <c r="C32" i="7"/>
  <c r="AH20" i="3" l="1"/>
  <c r="C15" i="5" s="1"/>
  <c r="AH9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6" i="3" l="1"/>
  <c r="M2" i="8" l="1" a="1"/>
  <c r="M5" i="8" s="1"/>
  <c r="L2" i="8" a="1"/>
  <c r="L3" i="8" s="1"/>
  <c r="K2" i="8" a="1"/>
  <c r="K4" i="8" s="1"/>
  <c r="I2" i="8" a="1"/>
  <c r="I5" i="8" s="1"/>
  <c r="H2" i="8" a="1"/>
  <c r="H5" i="8" s="1"/>
  <c r="G2" i="8" a="1"/>
  <c r="G5" i="8" s="1"/>
  <c r="F2" i="8" a="1"/>
  <c r="F5" i="8" s="1"/>
  <c r="E2" i="8" a="1"/>
  <c r="E5" i="8" s="1"/>
  <c r="D2" i="8" a="1"/>
  <c r="D2" i="8" s="1"/>
  <c r="C2" i="8" a="1"/>
  <c r="C4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H32" i="8"/>
  <c r="H28" i="8"/>
  <c r="H24" i="8"/>
  <c r="H20" i="8"/>
  <c r="H16" i="8"/>
  <c r="H12" i="8"/>
  <c r="H8" i="8"/>
  <c r="H4" i="8"/>
  <c r="H31" i="8"/>
  <c r="H27" i="8"/>
  <c r="H23" i="8"/>
  <c r="H19" i="8"/>
  <c r="H15" i="8"/>
  <c r="H11" i="8"/>
  <c r="H7" i="8"/>
  <c r="H3" i="8"/>
  <c r="H30" i="8"/>
  <c r="H26" i="8"/>
  <c r="H22" i="8"/>
  <c r="H18" i="8"/>
  <c r="H14" i="8"/>
  <c r="H10" i="8"/>
  <c r="H6" i="8"/>
  <c r="H2" i="8"/>
  <c r="H29" i="8"/>
  <c r="H25" i="8"/>
  <c r="H21" i="8"/>
  <c r="H17" i="8"/>
  <c r="H13" i="8"/>
  <c r="H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C31" i="8"/>
  <c r="C27" i="8"/>
  <c r="C23" i="8"/>
  <c r="C19" i="8"/>
  <c r="C15" i="8"/>
  <c r="C11" i="8"/>
  <c r="C7" i="8"/>
  <c r="C3" i="8"/>
  <c r="C30" i="8"/>
  <c r="C26" i="8"/>
  <c r="C22" i="8"/>
  <c r="C18" i="8"/>
  <c r="C14" i="8"/>
  <c r="C10" i="8"/>
  <c r="C6" i="8"/>
  <c r="C2" i="8"/>
  <c r="C29" i="8"/>
  <c r="C25" i="8"/>
  <c r="C21" i="8"/>
  <c r="C17" i="8"/>
  <c r="C13" i="8"/>
  <c r="C9" i="8"/>
  <c r="C5" i="8"/>
  <c r="C32" i="8"/>
  <c r="C28" i="8"/>
  <c r="C24" i="8"/>
  <c r="C20" i="8"/>
  <c r="C16" i="8"/>
  <c r="C12" i="8"/>
  <c r="C8" i="8"/>
  <c r="A2" i="8"/>
  <c r="A3" i="8" s="1"/>
  <c r="B3" i="8" l="1"/>
  <c r="A4" i="8"/>
  <c r="B2" i="8"/>
  <c r="I34" i="8" l="1"/>
  <c r="B4" i="8"/>
  <c r="A5" i="8"/>
  <c r="G34" i="8"/>
  <c r="H34" i="8"/>
  <c r="C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60" i="5" s="1"/>
  <c r="AH59" i="3"/>
  <c r="AJ59" i="3" s="1"/>
  <c r="M34" i="8" s="1"/>
  <c r="AH58" i="3"/>
  <c r="AJ58" i="3" s="1"/>
  <c r="L34" i="8" s="1"/>
  <c r="AH57" i="3"/>
  <c r="AJ57" i="3" s="1"/>
  <c r="K34" i="8" s="1"/>
  <c r="C59" i="5" l="1"/>
  <c r="C58" i="5"/>
  <c r="C57" i="5"/>
  <c r="AH30" i="3" l="1"/>
  <c r="C44" i="5" l="1"/>
  <c r="C40" i="5"/>
  <c r="C38" i="5"/>
  <c r="C36" i="5"/>
  <c r="C37" i="5" l="1"/>
  <c r="C35" i="5" l="1"/>
  <c r="AH54" i="3" l="1"/>
  <c r="AJ54" i="3" s="1"/>
  <c r="C54" i="5" s="1"/>
  <c r="B8" i="2"/>
  <c r="B1" i="7" l="1"/>
  <c r="AH16" i="3" l="1"/>
  <c r="C11" i="5" s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C50" i="3"/>
  <c r="C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AH38" i="3"/>
  <c r="AL38" i="3" s="1"/>
  <c r="C47" i="5" s="1"/>
  <c r="C46" i="5" l="1"/>
  <c r="AL39" i="3"/>
  <c r="AJ48" i="3"/>
  <c r="C51" i="5" s="1"/>
  <c r="C43" i="5"/>
  <c r="O34" i="8"/>
  <c r="C50" i="5"/>
  <c r="C52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I43" i="3"/>
  <c r="J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H41" i="3" s="1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41" i="3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H31" i="3" s="1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5" i="3"/>
  <c r="C5" i="5" s="1"/>
  <c r="AH14" i="3"/>
  <c r="C9" i="5" s="1"/>
  <c r="AH15" i="3"/>
  <c r="C10" i="5" s="1"/>
  <c r="AH19" i="3"/>
  <c r="C13" i="5" s="1"/>
  <c r="AH21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C31" i="3" s="1"/>
  <c r="R40" i="2"/>
  <c r="Q40" i="2"/>
  <c r="P40" i="2"/>
  <c r="O40" i="2"/>
  <c r="R42" i="2" s="1"/>
  <c r="M40" i="2"/>
  <c r="L40" i="2"/>
  <c r="K40" i="2"/>
  <c r="J40" i="2"/>
  <c r="F40" i="2"/>
  <c r="E40" i="2"/>
  <c r="A9" i="2"/>
  <c r="C30" i="5" l="1"/>
  <c r="A10" i="2"/>
  <c r="B9" i="2"/>
  <c r="C40" i="2"/>
  <c r="G40" i="2"/>
  <c r="E43" i="3"/>
  <c r="AH43" i="3" s="1"/>
  <c r="AH31" i="3"/>
  <c r="C39" i="3"/>
  <c r="O42" i="2"/>
  <c r="Q42" i="2"/>
  <c r="C22" i="5" l="1"/>
  <c r="C32" i="5" s="1"/>
  <c r="A11" i="2"/>
  <c r="B10" i="2"/>
  <c r="AL43" i="3"/>
  <c r="AH39" i="3"/>
  <c r="AN39" i="3" s="1"/>
  <c r="C41" i="3"/>
  <c r="AH41" i="3" s="1"/>
  <c r="C45" i="5" l="1"/>
  <c r="C48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9" l="1" a="1"/>
  <c r="C1" i="3" a="1"/>
  <c r="AG1" i="9" l="1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K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imported account balances removed by "paying" with credit memo, not a real sale</t>
        </r>
      </text>
    </comment>
    <comment ref="R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imported account balances removed by "paying" with credit memo, not a real sale
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imported account balances removed by "paying" with credit memo, not a real sale</t>
        </r>
      </text>
    </comment>
    <comment ref="U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imported account balances removed by "paying" with credit memo, not a real sale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imported account balances removed by "paying" with credit memo, not a real sale</t>
        </r>
      </text>
    </comment>
    <comment ref="AF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write off old balance from membership that has expired and was never collected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motel pass sale from 7/25 refunded on 8/3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$224 cash punch pass sale was returned on 8/9, cashier mistake, no cash received
$12.99 true over/short</t>
        </r>
      </text>
    </comment>
    <comment ref="K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punch pass sale from 8/6 refunded
$14.49 true over/short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N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cashier gave a $5 cash refund to someone who paid adult admission and then realized they qualified for the senior rate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Debbie couldn't remember why she processed the refunds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24.80 cashier shortage. Debbie refunded a towel sale, but cash not returned. Net $14.80 short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W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X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Y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Z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cash $66.37 short
</t>
        </r>
      </text>
    </comment>
    <comment ref="AA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
all cashiers off</t>
        </r>
      </text>
    </comment>
    <comment ref="AB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F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error trans will be refunded 8/31</t>
        </r>
      </text>
    </comment>
    <comment ref="AG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11.63 true over/short
$42 over corrects error trans from 8/30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  <author>Julie Lancaster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E26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manually deducted 2 senior admissions from revenue and admission counts. Accidentally rung up when trying to refund merchandise. Full cash amount given back to customer</t>
        </r>
      </text>
    </comment>
    <comment ref="N26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Z26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$26.01 entered as cash, rung up on ext
taking that into account, looks like an $8 cc transaction did not make in the register
</t>
        </r>
      </text>
    </comment>
    <comment ref="E27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deposit $10 short from what was written on ticket</t>
        </r>
      </text>
    </comment>
    <comment ref="V3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Receipt 1021805.005 sold 1 adult admission for two adults with half price coupons for sneffels marathon. 
4 transactions needed to be refunded, manually subtracted from revenue and admissions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<sst xmlns="http://schemas.openxmlformats.org/spreadsheetml/2006/main" count="528" uniqueCount="238">
  <si>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</si>
  <si>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</si>
  <si>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</si>
  <si>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</si>
  <si>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</si>
  <si>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</si>
  <si>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</si>
  <si>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</si>
  <si>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</si>
  <si>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</si>
  <si>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</si>
  <si>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</si>
  <si>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</si>
  <si>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</si>
  <si>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</si>
  <si>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</si>
  <si>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</si>
  <si>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</si>
  <si>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</si>
  <si>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</si>
  <si>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</si>
  <si>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</si>
  <si>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</si>
  <si>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</si>
  <si>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</si>
  <si>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</si>
  <si>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</si>
  <si>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</si>
  <si>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</si>
  <si>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</si>
  <si>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</si>
  <si>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</si>
  <si>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</si>
  <si>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</si>
  <si>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</si>
  <si>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</si>
  <si>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</si>
  <si>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</si>
  <si>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</si>
  <si>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</si>
  <si>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</si>
  <si>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</si>
  <si>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</si>
  <si>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</si>
  <si>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</si>
  <si>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</si>
  <si>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</si>
  <si>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</si>
  <si>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</si>
  <si>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</si>
  <si>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</si>
  <si>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</si>
  <si>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</si>
  <si>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</si>
  <si>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</si>
  <si>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</si>
  <si>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</si>
  <si>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</si>
  <si>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</si>
  <si>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</si>
  <si>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</si>
  <si>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</si>
  <si>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</si>
  <si>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</si>
  <si>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</si>
  <si>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</si>
  <si>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</si>
  <si>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</si>
  <si>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</si>
  <si>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</si>
  <si>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</si>
  <si>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</si>
  <si>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</si>
  <si>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</si>
  <si>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</si>
  <si>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</si>
  <si>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</si>
  <si>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</si>
  <si>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</si>
  <si>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</si>
  <si>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</si>
  <si>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</si>
  <si>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</si>
  <si>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</si>
  <si>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</si>
  <si>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</si>
  <si>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</si>
  <si>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</si>
  <si>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</si>
  <si>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</si>
  <si>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</si>
  <si>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</si>
  <si>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</si>
  <si>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</si>
  <si>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</si>
  <si>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</si>
  <si>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</si>
  <si>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</si>
  <si>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</si>
  <si>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</si>
  <si>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</si>
  <si>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</si>
  <si>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</si>
  <si>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</si>
  <si>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</si>
  <si>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</si>
  <si>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</si>
  <si>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</si>
  <si>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</si>
  <si>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</si>
  <si>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</si>
  <si>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</si>
  <si>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</si>
  <si>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</si>
  <si>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</si>
  <si>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>CC Processor Adjustments Cleared</t>
  </si>
  <si>
    <t>CC Processor Adjustments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</si>
  <si>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</si>
  <si>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</si>
  <si>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</si>
  <si>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</si>
  <si>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</si>
  <si>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</si>
  <si>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</si>
  <si>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</si>
  <si>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</si>
  <si>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</si>
  <si>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</si>
  <si>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</si>
  <si>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</si>
  <si>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</si>
  <si>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</si>
  <si>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</si>
  <si>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</si>
  <si>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</si>
  <si>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</si>
  <si>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</si>
  <si>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</si>
  <si>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</si>
  <si>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</si>
  <si>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</si>
  <si>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</si>
  <si>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</si>
  <si>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</si>
  <si>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</si>
  <si>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</si>
  <si>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</si>
  <si>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</si>
  <si>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</si>
  <si>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</si>
  <si>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</si>
  <si>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</si>
  <si>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</si>
  <si>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</si>
  <si>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</si>
  <si>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</si>
  <si>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</si>
  <si>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</si>
  <si>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</si>
  <si>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</si>
  <si>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</si>
  <si>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</si>
  <si>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</si>
  <si>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</si>
  <si>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</si>
  <si>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</si>
  <si>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</si>
  <si>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</si>
  <si>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</si>
  <si>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</si>
  <si>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</si>
  <si>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</si>
  <si>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</si>
  <si>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</si>
  <si>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</si>
  <si>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</si>
  <si>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Pool Admissions + Motel Bulk Admission +50% Pool/Gym Rev. - Admission Discounts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</si>
  <si>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</si>
  <si>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</si>
  <si>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</si>
  <si>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</si>
  <si>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</si>
  <si>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</si>
  <si>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</si>
  <si>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</si>
  <si>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</si>
  <si>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</si>
  <si>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</si>
  <si>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</si>
  <si>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</si>
  <si>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</si>
  <si>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</si>
  <si>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</si>
  <si>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</si>
  <si>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</si>
  <si>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</si>
  <si>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</si>
  <si>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</si>
  <si>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All pool memberships + 50% pool/gym memberships</t>
  </si>
  <si>
    <t>Gym only passes/memberships + 50% pool/gym rev.</t>
  </si>
  <si>
    <t>Slide Add-on</t>
  </si>
  <si>
    <t>10-45-4205</t>
  </si>
  <si>
    <t>Processing Fees</t>
  </si>
  <si>
    <t>50-50-6150</t>
  </si>
  <si>
    <t>CC Processing Fees</t>
  </si>
  <si>
    <t>CC Processing Fees Cleared</t>
  </si>
  <si>
    <t>CC Processing Fees Outstanding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</si>
  <si>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</si>
  <si>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</si>
  <si>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</si>
  <si>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</si>
  <si>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</si>
  <si>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</si>
  <si>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BC CC Processing Fees Cleared</t>
  </si>
  <si>
    <t>BC CC Processing Fees Outstanding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</si>
  <si>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</si>
  <si>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</si>
  <si>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</si>
  <si>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</si>
  <si>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</si>
  <si>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</si>
  <si>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</si>
  <si>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</si>
  <si>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</si>
  <si>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</si>
  <si>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</si>
  <si>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</si>
  <si>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</si>
  <si>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</si>
  <si>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</si>
  <si>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</si>
  <si>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</si>
  <si>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</si>
  <si>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VC CC Processing Fees Cleared</t>
  </si>
  <si>
    <t>VC CC Processing Fees Outstanding</t>
  </si>
  <si>
    <t>Punch Pass Revenue</t>
  </si>
  <si>
    <t>August</t>
  </si>
  <si>
    <t>Gym 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</si>
</sst>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9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23" xfId="0" applyNumberFormat="1" applyFont="1" applyBorder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41" fillId="7" borderId="9" xfId="0" applyNumberFormat="1" applyFont="1" applyFill="1" applyBorder="1" applyProtection="1">
      <protection locked="0"/>
    </xf>
    <xf numFmtId="2" fontId="12" fillId="7" borderId="46" xfId="0" applyNumberFormat="1" applyFont="1" applyFill="1" applyBorder="1" applyProtection="1"/>
    <xf numFmtId="43" fontId="12" fillId="7" borderId="9" xfId="0" applyNumberFormat="1" applyFont="1" applyFill="1" applyBorder="1" applyProtection="1"/>
    <xf numFmtId="43" fontId="12" fillId="7" borderId="19" xfId="0" applyNumberFormat="1" applyFont="1" applyFill="1" applyBorder="1" applyProtection="1"/>
    <xf numFmtId="43" fontId="13" fillId="7" borderId="73" xfId="0" applyNumberFormat="1" applyFont="1" applyFill="1" applyBorder="1" applyProtection="1"/>
    <xf numFmtId="43" fontId="39" fillId="7" borderId="29" xfId="0" applyNumberFormat="1" applyFont="1" applyFill="1" applyBorder="1" applyProtection="1">
      <protection locked="0"/>
    </xf>
    <xf numFmtId="43" fontId="12" fillId="7" borderId="29" xfId="0" applyNumberFormat="1" applyFont="1" applyFill="1" applyBorder="1" applyProtection="1"/>
    <xf numFmtId="43" fontId="45" fillId="0" borderId="20" xfId="0" applyNumberFormat="1" applyFont="1" applyBorder="1" applyProtection="1"/>
    <xf numFmtId="43" fontId="45" fillId="0" borderId="18" xfId="0" applyNumberFormat="1" applyFont="1" applyBorder="1" applyProtection="1"/>
    <xf numFmtId="43" fontId="45" fillId="7" borderId="9" xfId="0" applyNumberFormat="1" applyFont="1" applyFill="1" applyBorder="1" applyProtection="1"/>
    <xf numFmtId="43" fontId="42" fillId="7" borderId="73" xfId="0" applyNumberFormat="1" applyFont="1" applyFill="1" applyBorder="1" applyProtection="1"/>
    <xf numFmtId="43" fontId="42" fillId="7" borderId="9" xfId="0" applyNumberFormat="1" applyFont="1" applyFill="1" applyBorder="1" applyProtection="1">
      <protection locked="0"/>
    </xf>
    <xf numFmtId="2" fontId="45" fillId="7" borderId="46" xfId="0" applyNumberFormat="1" applyFont="1" applyFill="1" applyBorder="1" applyProtection="1"/>
    <xf numFmtId="2" fontId="45" fillId="7" borderId="58" xfId="0" applyNumberFormat="1" applyFont="1" applyFill="1" applyBorder="1" applyProtection="1"/>
    <xf numFmtId="43" fontId="45" fillId="7" borderId="20" xfId="0" applyNumberFormat="1" applyFont="1" applyFill="1" applyBorder="1" applyProtection="1"/>
    <xf numFmtId="43" fontId="0" fillId="0" borderId="79" xfId="0" applyNumberFormat="1" applyFill="1" applyBorder="1" applyProtection="1">
      <protection locked="0"/>
    </xf>
    <xf numFmtId="43" fontId="0" fillId="0" borderId="9" xfId="0" applyNumberFormat="1" applyFill="1" applyBorder="1" applyProtection="1">
      <protection locked="0"/>
    </xf>
    <xf numFmtId="43" fontId="12" fillId="0" borderId="74" xfId="0" applyNumberFormat="1" applyFont="1" applyBorder="1" applyProtection="1">
      <protection locked="0"/>
    </xf>
    <xf numFmtId="43" fontId="12" fillId="0" borderId="4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42" fillId="7" borderId="17" xfId="0" applyNumberFormat="1" applyFont="1" applyFill="1" applyBorder="1" applyProtection="1">
      <protection locked="0"/>
    </xf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2" t="s">
        <v>236</v>
      </c>
      <c r="D1" s="383">
        <v>2022</v>
      </c>
      <c r="G1" s="217"/>
    </row>
    <row r="3" spans="1:22" x14ac:dyDescent="0.2">
      <c r="A3" s="5"/>
    </row>
    <row r="4" spans="1:22" s="1" customFormat="1" x14ac:dyDescent="0.2">
      <c r="B4" s="230"/>
      <c r="C4" s="493" t="s">
        <v>1</v>
      </c>
      <c r="D4" s="494"/>
      <c r="E4" s="494"/>
      <c r="F4" s="494"/>
      <c r="G4" s="494"/>
      <c r="H4" s="494"/>
      <c r="I4" s="494"/>
      <c r="J4" s="494"/>
      <c r="K4" s="494"/>
      <c r="L4" s="494"/>
      <c r="M4" s="495"/>
      <c r="N4" s="6"/>
      <c r="O4" s="496" t="s">
        <v>2</v>
      </c>
      <c r="P4" s="497"/>
      <c r="Q4" s="497"/>
      <c r="R4" s="498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109</v>
      </c>
      <c r="H6" s="14" t="s">
        <v>100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4">
        <v>44774</v>
      </c>
      <c r="B8" s="232" t="str">
        <f>TEXT(A8, "DDD")</f>
        <v>Mon</v>
      </c>
      <c r="C8" s="152">
        <f t="array" ref="C8:C38">TRANSPOSE(Pool!C33:AG33)</f>
        <v>2732.39</v>
      </c>
      <c r="D8" s="58">
        <f>'Box Canon'!C18+'Box Canon'!C19</f>
        <v>1216.82</v>
      </c>
      <c r="E8" s="21"/>
      <c r="F8" s="21"/>
      <c r="G8" s="151">
        <f t="array" ref="G8:G38">TRANSPOSE(Pool!C34:AG34)</f>
        <v>7647.45</v>
      </c>
      <c r="H8" s="151">
        <f t="array" ref="H8:H38">TRANSPOSE(Pool!C35:AG35)</f>
        <v>0</v>
      </c>
      <c r="I8" s="151">
        <f>'Box Canon'!C20+'Box Canon'!C21</f>
        <v>1473.4099999999999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44775</v>
      </c>
      <c r="B9" s="232" t="str">
        <f t="shared" ref="B9:B38" si="0">TEXT(A9, "DDD")</f>
        <v>Tue</v>
      </c>
      <c r="C9" s="152">
        <v>2748.38</v>
      </c>
      <c r="D9" s="58">
        <f>'Box Canon'!D18+'Box Canon'!D19</f>
        <v>1237.4099999999999</v>
      </c>
      <c r="E9" s="21"/>
      <c r="F9" s="21"/>
      <c r="G9" s="151">
        <v>12076.41</v>
      </c>
      <c r="H9" s="151">
        <v>0</v>
      </c>
      <c r="I9" s="151">
        <f>'Box Canon'!D20+'Box Canon'!D21</f>
        <v>1641.23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44776</v>
      </c>
      <c r="B10" s="232" t="str">
        <f t="shared" si="0"/>
        <v>Wed</v>
      </c>
      <c r="C10" s="152">
        <v>2010.95</v>
      </c>
      <c r="D10" s="58">
        <f>'Box Canon'!E18+'Box Canon'!E19</f>
        <v>1495.62</v>
      </c>
      <c r="E10" s="21"/>
      <c r="F10" s="21"/>
      <c r="G10" s="151">
        <v>10611.74</v>
      </c>
      <c r="H10" s="151">
        <v>0</v>
      </c>
      <c r="I10" s="151">
        <f>'Box Canon'!E20+'Box Canon'!E21</f>
        <v>1680.4899999999998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44777</v>
      </c>
      <c r="B11" s="232" t="str">
        <f t="shared" si="0"/>
        <v>Thu</v>
      </c>
      <c r="C11" s="152">
        <v>1675.52</v>
      </c>
      <c r="D11" s="58">
        <f>'Box Canon'!F18+'Box Canon'!F19</f>
        <v>1293.8900000000001</v>
      </c>
      <c r="E11" s="21"/>
      <c r="F11" s="21"/>
      <c r="G11" s="151">
        <v>9400.77</v>
      </c>
      <c r="H11" s="153">
        <v>0</v>
      </c>
      <c r="I11" s="151">
        <f>'Box Canon'!F20+'Box Canon'!F21</f>
        <v>1502.22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44778</v>
      </c>
      <c r="B12" s="232" t="str">
        <f t="shared" si="0"/>
        <v>Fri</v>
      </c>
      <c r="C12" s="152">
        <v>1945.64</v>
      </c>
      <c r="D12" s="58">
        <f>'Box Canon'!G18+'Box Canon'!G19</f>
        <v>1117.5300000000002</v>
      </c>
      <c r="E12" s="21"/>
      <c r="F12" s="21"/>
      <c r="G12" s="151">
        <v>13354.86</v>
      </c>
      <c r="H12" s="153">
        <v>0</v>
      </c>
      <c r="I12" s="151">
        <f>'Box Canon'!G20+'Box Canon'!G21</f>
        <v>1493.28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44779</v>
      </c>
      <c r="B13" s="232" t="str">
        <f t="shared" si="0"/>
        <v>Sat</v>
      </c>
      <c r="C13" s="152">
        <v>2432.1999999999998</v>
      </c>
      <c r="D13" s="58">
        <f>'Box Canon'!H18+'Box Canon'!H19</f>
        <v>1302.94</v>
      </c>
      <c r="E13" s="21"/>
      <c r="F13" s="21"/>
      <c r="G13" s="151">
        <v>15486.2</v>
      </c>
      <c r="H13" s="153">
        <v>0</v>
      </c>
      <c r="I13" s="151">
        <f>'Box Canon'!H20+'Box Canon'!H21</f>
        <v>2330.29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44780</v>
      </c>
      <c r="B14" s="232" t="str">
        <f t="shared" si="0"/>
        <v>Sun</v>
      </c>
      <c r="C14" s="152">
        <v>2788.48</v>
      </c>
      <c r="D14" s="58">
        <f>'Box Canon'!I18+'Box Canon'!I19</f>
        <v>1262.6399999999999</v>
      </c>
      <c r="E14" s="21"/>
      <c r="F14" s="21"/>
      <c r="G14" s="151">
        <v>10413.450000000001</v>
      </c>
      <c r="H14" s="153">
        <v>0</v>
      </c>
      <c r="I14" s="151">
        <f>'Box Canon'!I20+'Box Canon'!I21</f>
        <v>1704.95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44781</v>
      </c>
      <c r="B15" s="232" t="str">
        <f t="shared" si="0"/>
        <v>Mon</v>
      </c>
      <c r="C15" s="152">
        <v>1750.91</v>
      </c>
      <c r="D15" s="58">
        <f>'Box Canon'!J18+'Box Canon'!J19</f>
        <v>1114.1100000000001</v>
      </c>
      <c r="E15" s="21"/>
      <c r="F15" s="21"/>
      <c r="G15" s="151">
        <v>10377.19</v>
      </c>
      <c r="H15" s="153">
        <v>0</v>
      </c>
      <c r="I15" s="151">
        <f>'Box Canon'!J20+'Box Canon'!J21</f>
        <v>1266.54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44782</v>
      </c>
      <c r="B16" s="232" t="str">
        <f t="shared" si="0"/>
        <v>Tue</v>
      </c>
      <c r="C16" s="152">
        <v>2006.93</v>
      </c>
      <c r="D16" s="58">
        <f>'Box Canon'!K18+'Box Canon'!K19</f>
        <v>1177.24</v>
      </c>
      <c r="E16" s="21"/>
      <c r="F16" s="21"/>
      <c r="G16" s="151">
        <v>10369.61</v>
      </c>
      <c r="H16" s="153">
        <v>0</v>
      </c>
      <c r="I16" s="151">
        <f>'Box Canon'!K20+'Box Canon'!K21</f>
        <v>1146.3700000000001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44783</v>
      </c>
      <c r="B17" s="232" t="str">
        <f t="shared" si="0"/>
        <v>Wed</v>
      </c>
      <c r="C17" s="152">
        <v>1994.81</v>
      </c>
      <c r="D17" s="58">
        <f>'Box Canon'!L18+'Box Canon'!L19</f>
        <v>1289.6199999999999</v>
      </c>
      <c r="E17" s="21"/>
      <c r="F17" s="21"/>
      <c r="G17" s="151">
        <v>8431.32</v>
      </c>
      <c r="H17" s="153">
        <v>0</v>
      </c>
      <c r="I17" s="151">
        <f>'Box Canon'!L20+'Box Canon'!L21</f>
        <v>1412.4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44784</v>
      </c>
      <c r="B18" s="232" t="str">
        <f t="shared" si="0"/>
        <v>Thu</v>
      </c>
      <c r="C18" s="152">
        <v>1393.41</v>
      </c>
      <c r="D18" s="58">
        <f>'Box Canon'!M18+'Box Canon'!M19</f>
        <v>975.04</v>
      </c>
      <c r="E18" s="21"/>
      <c r="F18" s="21"/>
      <c r="G18" s="151">
        <v>6994.03</v>
      </c>
      <c r="H18" s="153">
        <v>0</v>
      </c>
      <c r="I18" s="151">
        <f>'Box Canon'!M20+'Box Canon'!M21</f>
        <v>1363.43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44785</v>
      </c>
      <c r="B19" s="232" t="str">
        <f t="shared" si="0"/>
        <v>Fri</v>
      </c>
      <c r="C19" s="152">
        <v>2040.56</v>
      </c>
      <c r="D19" s="58">
        <f>'Box Canon'!N18+'Box Canon'!N19</f>
        <v>1135.98</v>
      </c>
      <c r="E19" s="21"/>
      <c r="F19" s="21"/>
      <c r="G19" s="151">
        <v>10547.65</v>
      </c>
      <c r="H19" s="153">
        <v>0</v>
      </c>
      <c r="I19" s="151">
        <f>'Box Canon'!N20+'Box Canon'!N21</f>
        <v>1365.8500000000001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44786</v>
      </c>
      <c r="B20" s="232" t="str">
        <f t="shared" si="0"/>
        <v>Sat</v>
      </c>
      <c r="C20" s="152">
        <v>2122.33</v>
      </c>
      <c r="D20" s="58">
        <f>'Box Canon'!O18+'Box Canon'!O19</f>
        <v>1293.8499999999999</v>
      </c>
      <c r="E20" s="21"/>
      <c r="F20" s="21"/>
      <c r="G20" s="151">
        <v>14031.48</v>
      </c>
      <c r="H20" s="153">
        <v>0</v>
      </c>
      <c r="I20" s="151">
        <f>'Box Canon'!O20+'Box Canon'!O21</f>
        <v>1594.1999999999998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44787</v>
      </c>
      <c r="B21" s="232" t="str">
        <f t="shared" si="0"/>
        <v>Sun</v>
      </c>
      <c r="C21" s="152">
        <v>2099.98</v>
      </c>
      <c r="D21" s="58">
        <f>'Box Canon'!P18+'Box Canon'!P19</f>
        <v>1289.77</v>
      </c>
      <c r="E21" s="41"/>
      <c r="F21" s="21"/>
      <c r="G21" s="151">
        <v>13357.93</v>
      </c>
      <c r="H21" s="153">
        <v>0</v>
      </c>
      <c r="I21" s="151">
        <f>'Box Canon'!P20+'Box Canon'!P21</f>
        <v>1664.0900000000001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44788</v>
      </c>
      <c r="B22" s="232" t="str">
        <f t="shared" si="0"/>
        <v>Mon</v>
      </c>
      <c r="C22" s="152">
        <v>967.99</v>
      </c>
      <c r="D22" s="58">
        <f>'Box Canon'!Q18+'Box Canon'!Q19</f>
        <v>931.8</v>
      </c>
      <c r="E22" s="21"/>
      <c r="F22" s="21"/>
      <c r="G22" s="151">
        <v>7242.57</v>
      </c>
      <c r="H22" s="153">
        <v>0</v>
      </c>
      <c r="I22" s="151">
        <f>'Box Canon'!Q20+'Box Canon'!Q21</f>
        <v>968.87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44789</v>
      </c>
      <c r="B23" s="232" t="str">
        <f t="shared" si="0"/>
        <v>Tue</v>
      </c>
      <c r="C23" s="152">
        <v>1050.46</v>
      </c>
      <c r="D23" s="58">
        <f>'Box Canon'!R18+'Box Canon'!R19</f>
        <v>1541.5500000000002</v>
      </c>
      <c r="E23" s="21"/>
      <c r="F23" s="21"/>
      <c r="G23" s="151">
        <v>6363.94</v>
      </c>
      <c r="H23" s="153">
        <v>0</v>
      </c>
      <c r="I23" s="151">
        <f>'Box Canon'!R20+'Box Canon'!R21</f>
        <v>881.74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44790</v>
      </c>
      <c r="B24" s="232" t="str">
        <f t="shared" si="0"/>
        <v>Wed</v>
      </c>
      <c r="C24" s="152">
        <v>1428.65</v>
      </c>
      <c r="D24" s="58">
        <f>'Box Canon'!S18+'Box Canon'!S19</f>
        <v>790.98</v>
      </c>
      <c r="E24" s="21"/>
      <c r="F24" s="21"/>
      <c r="G24" s="151">
        <v>5811.11</v>
      </c>
      <c r="H24" s="153">
        <v>0</v>
      </c>
      <c r="I24" s="151">
        <f>'Box Canon'!S20+'Box Canon'!S21</f>
        <v>983.22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44791</v>
      </c>
      <c r="B25" s="232" t="str">
        <f t="shared" si="0"/>
        <v>Thu</v>
      </c>
      <c r="C25" s="152">
        <v>1880.04</v>
      </c>
      <c r="D25" s="58">
        <f>'Box Canon'!T18+'Box Canon'!T19</f>
        <v>1128.69</v>
      </c>
      <c r="E25" s="21"/>
      <c r="F25" s="21"/>
      <c r="G25" s="151">
        <v>6307.32</v>
      </c>
      <c r="H25" s="153">
        <v>0</v>
      </c>
      <c r="I25" s="151">
        <f>'Box Canon'!T20+'Box Canon'!T21</f>
        <v>1026.3200000000002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44792</v>
      </c>
      <c r="B26" s="232" t="str">
        <f t="shared" si="0"/>
        <v>Fri</v>
      </c>
      <c r="C26" s="152">
        <v>1209.33</v>
      </c>
      <c r="D26" s="58">
        <f>'Box Canon'!U18+'Box Canon'!U19</f>
        <v>852.57999999999993</v>
      </c>
      <c r="E26" s="21"/>
      <c r="F26" s="21"/>
      <c r="G26" s="151">
        <v>5791.37</v>
      </c>
      <c r="H26" s="153">
        <v>0</v>
      </c>
      <c r="I26" s="151">
        <f>'Box Canon'!U20+'Box Canon'!U21</f>
        <v>754.52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44793</v>
      </c>
      <c r="B27" s="232" t="str">
        <f t="shared" si="0"/>
        <v>Sat</v>
      </c>
      <c r="C27" s="152">
        <v>1453.82</v>
      </c>
      <c r="D27" s="58">
        <f>'Box Canon'!V18+'Box Canon'!V19</f>
        <v>1345.3899999999999</v>
      </c>
      <c r="E27" s="21"/>
      <c r="F27" s="21"/>
      <c r="G27" s="151">
        <v>10399.74</v>
      </c>
      <c r="H27" s="153">
        <v>0</v>
      </c>
      <c r="I27" s="151">
        <f>'Box Canon'!V20+'Box Canon'!V21</f>
        <v>1306.46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44794</v>
      </c>
      <c r="B28" s="232" t="str">
        <f t="shared" si="0"/>
        <v>Sun</v>
      </c>
      <c r="C28" s="152">
        <v>1423.85</v>
      </c>
      <c r="D28" s="58">
        <f>'Box Canon'!W18+'Box Canon'!W19</f>
        <v>809.73</v>
      </c>
      <c r="E28" s="21"/>
      <c r="F28" s="21"/>
      <c r="G28" s="151">
        <v>7422.19</v>
      </c>
      <c r="H28" s="153">
        <v>0</v>
      </c>
      <c r="I28" s="151">
        <f>'Box Canon'!W20+'Box Canon'!W21</f>
        <v>1038.77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44795</v>
      </c>
      <c r="B29" s="232" t="str">
        <f t="shared" si="0"/>
        <v>Mon</v>
      </c>
      <c r="C29" s="152">
        <v>1136.54</v>
      </c>
      <c r="D29" s="58">
        <f>'Box Canon'!X18+'Box Canon'!X19</f>
        <v>647.47</v>
      </c>
      <c r="E29" s="21"/>
      <c r="F29" s="21"/>
      <c r="G29" s="151">
        <v>4657.6000000000004</v>
      </c>
      <c r="H29" s="153">
        <v>0</v>
      </c>
      <c r="I29" s="151">
        <f>'Box Canon'!X20+'Box Canon'!X21</f>
        <v>740.11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44796</v>
      </c>
      <c r="B30" s="232" t="str">
        <f t="shared" si="0"/>
        <v>Tue</v>
      </c>
      <c r="C30" s="152">
        <v>1117.6199999999999</v>
      </c>
      <c r="D30" s="58">
        <f>'Box Canon'!Y18+'Box Canon'!Y19</f>
        <v>994.9</v>
      </c>
      <c r="E30" s="21"/>
      <c r="F30" s="21"/>
      <c r="G30" s="151">
        <v>6320.23</v>
      </c>
      <c r="H30" s="153">
        <v>0</v>
      </c>
      <c r="I30" s="151">
        <f>'Box Canon'!Y20+'Box Canon'!Y21</f>
        <v>848.3900000000001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44797</v>
      </c>
      <c r="B31" s="232" t="str">
        <f t="shared" si="0"/>
        <v>Wed</v>
      </c>
      <c r="C31" s="152">
        <v>1227.42</v>
      </c>
      <c r="D31" s="58">
        <f>'Box Canon'!Z18+'Box Canon'!Z19</f>
        <v>911.8900000000001</v>
      </c>
      <c r="E31" s="21"/>
      <c r="F31" s="21"/>
      <c r="G31" s="151">
        <v>4780.79</v>
      </c>
      <c r="H31" s="153">
        <v>342</v>
      </c>
      <c r="I31" s="151">
        <f>'Box Canon'!Z20+'Box Canon'!Z21</f>
        <v>412.51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44798</v>
      </c>
      <c r="B32" s="232" t="str">
        <f t="shared" si="0"/>
        <v>Thu</v>
      </c>
      <c r="C32" s="152">
        <v>1062.75</v>
      </c>
      <c r="D32" s="58">
        <f>'Box Canon'!AA18+'Box Canon'!AA19</f>
        <v>556.05999999999995</v>
      </c>
      <c r="E32" s="21"/>
      <c r="F32" s="21"/>
      <c r="G32" s="151">
        <v>6094.51</v>
      </c>
      <c r="H32" s="153">
        <v>0</v>
      </c>
      <c r="I32" s="151">
        <f>'Box Canon'!AA20+'Box Canon'!AA21</f>
        <v>805.64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44799</v>
      </c>
      <c r="B33" s="232" t="str">
        <f t="shared" si="0"/>
        <v>Fri</v>
      </c>
      <c r="C33" s="152">
        <v>1145.25</v>
      </c>
      <c r="D33" s="58">
        <f>'Box Canon'!AB18+'Box Canon'!AB19</f>
        <v>664.39</v>
      </c>
      <c r="E33" s="21"/>
      <c r="F33" s="21"/>
      <c r="G33" s="151">
        <v>4774.6099999999997</v>
      </c>
      <c r="H33" s="153">
        <v>0</v>
      </c>
      <c r="I33" s="151">
        <f>'Box Canon'!AB20+'Box Canon'!AB21</f>
        <v>663.89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44800</v>
      </c>
      <c r="B34" s="232" t="str">
        <f t="shared" si="0"/>
        <v>Sat</v>
      </c>
      <c r="C34" s="152">
        <v>2895.75</v>
      </c>
      <c r="D34" s="58">
        <f>'Box Canon'!AC18+'Box Canon'!AC19</f>
        <v>1360.29</v>
      </c>
      <c r="E34" s="21"/>
      <c r="F34" s="21"/>
      <c r="G34" s="151">
        <v>13401.19</v>
      </c>
      <c r="H34" s="153">
        <v>0</v>
      </c>
      <c r="I34" s="151">
        <f>'Box Canon'!AC20+'Box Canon'!AC21</f>
        <v>1631.92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44801</v>
      </c>
      <c r="B35" s="232" t="str">
        <f t="shared" si="0"/>
        <v>Sun</v>
      </c>
      <c r="C35" s="152">
        <v>2277.0300000000002</v>
      </c>
      <c r="D35" s="58">
        <f>'Box Canon'!AD18+'Box Canon'!AD19</f>
        <v>1054.02</v>
      </c>
      <c r="E35" s="21"/>
      <c r="F35" s="21"/>
      <c r="G35" s="151">
        <v>7312.33</v>
      </c>
      <c r="H35" s="153">
        <v>0</v>
      </c>
      <c r="I35" s="151">
        <f>'Box Canon'!AD20+'Box Canon'!AD21</f>
        <v>1198.1299999999999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44802</v>
      </c>
      <c r="B36" s="232" t="str">
        <f t="shared" si="0"/>
        <v>Mon</v>
      </c>
      <c r="C36" s="152">
        <v>1011.01</v>
      </c>
      <c r="D36" s="58">
        <f>'Box Canon'!AE18+'Box Canon'!AE19</f>
        <v>857.57999999999993</v>
      </c>
      <c r="E36" s="42"/>
      <c r="F36" s="21"/>
      <c r="G36" s="151">
        <v>5299.73</v>
      </c>
      <c r="H36" s="153">
        <v>0</v>
      </c>
      <c r="I36" s="151">
        <f>'Box Canon'!AE20+'Box Canon'!AE21</f>
        <v>967.18000000000006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44803</v>
      </c>
      <c r="B37" s="232" t="str">
        <f t="shared" si="0"/>
        <v>Tue</v>
      </c>
      <c r="C37" s="152">
        <v>946.87</v>
      </c>
      <c r="D37" s="58">
        <f>'Box Canon'!AF18+'Box Canon'!AF19</f>
        <v>860.79</v>
      </c>
      <c r="E37" s="21"/>
      <c r="F37" s="21"/>
      <c r="G37" s="151">
        <v>4397.93</v>
      </c>
      <c r="H37" s="153">
        <v>0</v>
      </c>
      <c r="I37" s="151">
        <f>'Box Canon'!AF20+'Box Canon'!AF21</f>
        <v>695.82999999999993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44804</v>
      </c>
      <c r="B38" s="232" t="str">
        <f t="shared" si="0"/>
        <v>Wed</v>
      </c>
      <c r="C38" s="152">
        <v>1268.22</v>
      </c>
      <c r="D38" s="58">
        <f>'Box Canon'!AG18+'Box Canon'!AG19</f>
        <v>598.29</v>
      </c>
      <c r="E38" s="21"/>
      <c r="F38" s="21"/>
      <c r="G38" s="151">
        <v>3210.18</v>
      </c>
      <c r="H38" s="153">
        <v>0</v>
      </c>
      <c r="I38" s="151">
        <f>'Box Canon'!AG20+'Box Canon'!AG21</f>
        <v>863.14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53245.090000000011</v>
      </c>
      <c r="D40" s="171">
        <f t="shared" ref="D40:M40" si="2">SUM(D8:D39)</f>
        <v>33108.86</v>
      </c>
      <c r="E40" s="172">
        <f t="shared" si="2"/>
        <v>0</v>
      </c>
      <c r="F40" s="172">
        <f t="shared" si="2"/>
        <v>0</v>
      </c>
      <c r="G40" s="171">
        <f>SUM(G8:G38)</f>
        <v>262687.43</v>
      </c>
      <c r="H40" s="171">
        <f>SUM(H8:H38)</f>
        <v>342</v>
      </c>
      <c r="I40" s="171">
        <f>SUM(I8:I38)</f>
        <v>37425.39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386808.77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86353.950000000012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C34" sqref="AC34"/>
    </sheetView>
  </sheetViews>
  <sheetFormatPr defaultColWidth="9.140625" defaultRowHeight="15.75" x14ac:dyDescent="0.25"/>
  <cols>
    <col min="1" max="1" width="10.42578125" style="59" bestFit="1" customWidth="1"/>
    <col min="2" max="2" width="33.85546875" style="60" bestFit="1" customWidth="1"/>
    <col min="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122</v>
      </c>
      <c r="B1" s="377" t="str">
        <f>'Cash Flow'!C1</f>
        <v>August</v>
      </c>
      <c r="C1" s="228" t="str">
        <f t="array" ref="C1:AG1">TRANSPOSE('Cash Flow'!B8:B38)</f>
        <v>Mon</v>
      </c>
      <c r="D1" s="228" t="str">
        <v>Tue</v>
      </c>
      <c r="E1" s="228" t="str">
        <v>Wed</v>
      </c>
      <c r="F1" s="228" t="str">
        <v>Thu</v>
      </c>
      <c r="G1" s="228" t="str">
        <v>Fri</v>
      </c>
      <c r="H1" s="228" t="str">
        <v>Sat</v>
      </c>
      <c r="I1" s="228" t="str">
        <v>Sun</v>
      </c>
      <c r="J1" s="228" t="str">
        <v>Mon</v>
      </c>
      <c r="K1" s="228" t="str">
        <v>Tue</v>
      </c>
      <c r="L1" s="228" t="str">
        <v>Wed</v>
      </c>
      <c r="M1" s="228" t="str">
        <v>Thu</v>
      </c>
      <c r="N1" s="228" t="str">
        <v>Fri</v>
      </c>
      <c r="O1" s="228" t="str">
        <v>Sat</v>
      </c>
      <c r="P1" s="228" t="str">
        <v>Sun</v>
      </c>
      <c r="Q1" s="228" t="str">
        <v>Mon</v>
      </c>
      <c r="R1" s="228" t="str">
        <v>Tue</v>
      </c>
      <c r="S1" s="228" t="str">
        <v>Wed</v>
      </c>
      <c r="T1" s="228" t="str">
        <v>Thu</v>
      </c>
      <c r="U1" s="228" t="str">
        <v>Fri</v>
      </c>
      <c r="V1" s="228" t="str">
        <v>Sat</v>
      </c>
      <c r="W1" s="228" t="str">
        <v>Sun</v>
      </c>
      <c r="X1" s="228" t="str">
        <v>Mon</v>
      </c>
      <c r="Y1" s="228" t="str">
        <v>Tue</v>
      </c>
      <c r="Z1" s="228" t="str">
        <v>Wed</v>
      </c>
      <c r="AA1" s="228" t="str">
        <v>Thu</v>
      </c>
      <c r="AB1" s="228" t="str">
        <v>Fri</v>
      </c>
      <c r="AC1" s="228" t="str">
        <v>Sat</v>
      </c>
      <c r="AD1" s="228" t="str">
        <v>Sun</v>
      </c>
      <c r="AE1" s="228" t="str">
        <v>Mon</v>
      </c>
      <c r="AF1" s="228" t="str">
        <v>Tue</v>
      </c>
      <c r="AG1" s="228" t="str">
        <v>Wed</v>
      </c>
    </row>
    <row r="2" spans="1:39" s="60" customFormat="1" ht="16.5" thickBot="1" x14ac:dyDescent="0.3">
      <c r="A2" s="63" t="s">
        <v>66</v>
      </c>
      <c r="B2" s="64" t="s">
        <v>131</v>
      </c>
      <c r="C2" s="106">
        <f>'Cash Flow'!A8</f>
        <v>44774</v>
      </c>
      <c r="D2" s="106">
        <f>C2+1</f>
        <v>44775</v>
      </c>
      <c r="E2" s="106">
        <f>D2+1</f>
        <v>44776</v>
      </c>
      <c r="F2" s="106">
        <f t="shared" ref="F2:AG2" si="0">E2+1</f>
        <v>44777</v>
      </c>
      <c r="G2" s="106">
        <f t="shared" si="0"/>
        <v>44778</v>
      </c>
      <c r="H2" s="106">
        <f t="shared" si="0"/>
        <v>44779</v>
      </c>
      <c r="I2" s="106">
        <f t="shared" si="0"/>
        <v>44780</v>
      </c>
      <c r="J2" s="106">
        <f t="shared" si="0"/>
        <v>44781</v>
      </c>
      <c r="K2" s="106">
        <f t="shared" si="0"/>
        <v>44782</v>
      </c>
      <c r="L2" s="106">
        <f t="shared" si="0"/>
        <v>44783</v>
      </c>
      <c r="M2" s="106">
        <f t="shared" si="0"/>
        <v>44784</v>
      </c>
      <c r="N2" s="106">
        <f t="shared" si="0"/>
        <v>44785</v>
      </c>
      <c r="O2" s="106">
        <f t="shared" si="0"/>
        <v>44786</v>
      </c>
      <c r="P2" s="106">
        <f t="shared" si="0"/>
        <v>44787</v>
      </c>
      <c r="Q2" s="106">
        <f t="shared" si="0"/>
        <v>44788</v>
      </c>
      <c r="R2" s="106">
        <f t="shared" si="0"/>
        <v>44789</v>
      </c>
      <c r="S2" s="106">
        <f t="shared" si="0"/>
        <v>44790</v>
      </c>
      <c r="T2" s="106">
        <f t="shared" si="0"/>
        <v>44791</v>
      </c>
      <c r="U2" s="106">
        <f t="shared" si="0"/>
        <v>44792</v>
      </c>
      <c r="V2" s="106">
        <f t="shared" si="0"/>
        <v>44793</v>
      </c>
      <c r="W2" s="106">
        <f t="shared" si="0"/>
        <v>44794</v>
      </c>
      <c r="X2" s="106">
        <f t="shared" si="0"/>
        <v>44795</v>
      </c>
      <c r="Y2" s="106">
        <f t="shared" si="0"/>
        <v>44796</v>
      </c>
      <c r="Z2" s="106">
        <f t="shared" si="0"/>
        <v>44797</v>
      </c>
      <c r="AA2" s="106">
        <f t="shared" si="0"/>
        <v>44798</v>
      </c>
      <c r="AB2" s="106">
        <f t="shared" si="0"/>
        <v>44799</v>
      </c>
      <c r="AC2" s="106">
        <f t="shared" si="0"/>
        <v>44800</v>
      </c>
      <c r="AD2" s="106">
        <f t="shared" si="0"/>
        <v>44801</v>
      </c>
      <c r="AE2" s="106">
        <f t="shared" si="0"/>
        <v>44802</v>
      </c>
      <c r="AF2" s="106">
        <f t="shared" si="0"/>
        <v>44803</v>
      </c>
      <c r="AG2" s="106">
        <f t="shared" si="0"/>
        <v>44804</v>
      </c>
      <c r="AH2" s="65" t="s">
        <v>59</v>
      </c>
      <c r="AI2" s="62"/>
      <c r="AJ2" s="63" t="s">
        <v>66</v>
      </c>
      <c r="AK2" s="64" t="s">
        <v>131</v>
      </c>
    </row>
    <row r="3" spans="1:39" x14ac:dyDescent="0.25">
      <c r="A3" s="66" t="s">
        <v>61</v>
      </c>
      <c r="B3" s="67" t="s">
        <v>62</v>
      </c>
      <c r="C3" s="68">
        <v>45.95</v>
      </c>
      <c r="D3" s="185">
        <v>68.66</v>
      </c>
      <c r="E3" s="185">
        <v>66.760000000000005</v>
      </c>
      <c r="F3" s="185">
        <v>47.46</v>
      </c>
      <c r="G3" s="185">
        <v>71.08</v>
      </c>
      <c r="H3" s="185">
        <v>103.38</v>
      </c>
      <c r="I3" s="185">
        <v>66.989999999999995</v>
      </c>
      <c r="J3" s="185">
        <v>65.55</v>
      </c>
      <c r="K3" s="185">
        <v>61.82</v>
      </c>
      <c r="L3" s="185">
        <v>57.6</v>
      </c>
      <c r="M3" s="185">
        <v>44.15</v>
      </c>
      <c r="N3" s="185">
        <v>70.88</v>
      </c>
      <c r="O3" s="185">
        <v>78.91</v>
      </c>
      <c r="P3" s="185">
        <v>104.58</v>
      </c>
      <c r="Q3" s="185">
        <v>39.020000000000003</v>
      </c>
      <c r="R3" s="185">
        <v>25.93</v>
      </c>
      <c r="S3" s="185">
        <v>36.840000000000003</v>
      </c>
      <c r="T3" s="185">
        <v>61.3</v>
      </c>
      <c r="U3" s="185">
        <v>35.24</v>
      </c>
      <c r="V3" s="185">
        <v>72.28</v>
      </c>
      <c r="W3" s="185">
        <v>53.45</v>
      </c>
      <c r="X3" s="185">
        <v>30.1</v>
      </c>
      <c r="Y3" s="185">
        <v>40.299999999999997</v>
      </c>
      <c r="Z3" s="185">
        <v>37.049999999999997</v>
      </c>
      <c r="AA3" s="185">
        <v>27.11</v>
      </c>
      <c r="AB3" s="185">
        <v>23.75</v>
      </c>
      <c r="AC3" s="185">
        <v>96.5</v>
      </c>
      <c r="AD3" s="185">
        <v>45</v>
      </c>
      <c r="AE3" s="185">
        <v>42.21</v>
      </c>
      <c r="AF3" s="185">
        <v>38.11</v>
      </c>
      <c r="AG3" s="185">
        <v>23.75</v>
      </c>
      <c r="AH3" s="108">
        <f>SUM(C3:AG3)</f>
        <v>1681.7099999999996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31</v>
      </c>
      <c r="C4" s="71">
        <v>6752.2</v>
      </c>
      <c r="D4" s="72">
        <v>11261.2</v>
      </c>
      <c r="E4" s="71">
        <v>9265.7999999999993</v>
      </c>
      <c r="F4" s="71">
        <v>8410.4</v>
      </c>
      <c r="G4" s="71">
        <v>9703.4</v>
      </c>
      <c r="H4" s="71">
        <v>13934.6</v>
      </c>
      <c r="I4" s="71">
        <v>10294.799999999999</v>
      </c>
      <c r="J4" s="71">
        <v>9055</v>
      </c>
      <c r="K4" s="71">
        <v>9053.4</v>
      </c>
      <c r="L4" s="71">
        <v>7855.6</v>
      </c>
      <c r="M4" s="71">
        <v>6421.4</v>
      </c>
      <c r="N4" s="71">
        <v>9019.2000000000007</v>
      </c>
      <c r="O4" s="71">
        <v>11914.4</v>
      </c>
      <c r="P4" s="71">
        <v>9752.7999999999993</v>
      </c>
      <c r="Q4" s="71">
        <v>4525.3999999999996</v>
      </c>
      <c r="R4" s="71">
        <v>4497.8</v>
      </c>
      <c r="S4" s="71">
        <v>5382</v>
      </c>
      <c r="T4" s="71">
        <v>6556.4</v>
      </c>
      <c r="U4" s="71">
        <v>4505.2</v>
      </c>
      <c r="V4" s="71">
        <v>8750.5</v>
      </c>
      <c r="W4" s="71">
        <v>7005.7</v>
      </c>
      <c r="X4" s="71">
        <v>4174.6000000000004</v>
      </c>
      <c r="Y4" s="71">
        <v>5285.6</v>
      </c>
      <c r="Z4" s="71">
        <v>4653</v>
      </c>
      <c r="AA4" s="71">
        <v>4649.8</v>
      </c>
      <c r="AB4" s="71">
        <v>4597.2</v>
      </c>
      <c r="AC4" s="71">
        <v>12856.2</v>
      </c>
      <c r="AD4" s="71">
        <v>7334.8</v>
      </c>
      <c r="AE4" s="71">
        <v>4435.6000000000004</v>
      </c>
      <c r="AF4" s="71">
        <v>3399</v>
      </c>
      <c r="AG4" s="71">
        <v>3305.2</v>
      </c>
      <c r="AH4" s="108">
        <f t="shared" ref="AH4:AH28" si="1">SUM(C4:AG4)</f>
        <v>228608.2</v>
      </c>
      <c r="AJ4" s="69" t="s">
        <v>30</v>
      </c>
      <c r="AK4" s="70" t="s">
        <v>31</v>
      </c>
      <c r="AL4" s="210"/>
      <c r="AM4" s="210"/>
    </row>
    <row r="5" spans="1:39" x14ac:dyDescent="0.25">
      <c r="A5" s="69" t="s">
        <v>177</v>
      </c>
      <c r="B5" s="70" t="s">
        <v>200</v>
      </c>
      <c r="C5" s="71">
        <v>430.8</v>
      </c>
      <c r="D5" s="72">
        <v>595.20000000000005</v>
      </c>
      <c r="E5" s="72">
        <v>462</v>
      </c>
      <c r="F5" s="72">
        <v>360</v>
      </c>
      <c r="G5" s="72">
        <v>457.2</v>
      </c>
      <c r="H5" s="72">
        <v>566.4</v>
      </c>
      <c r="I5" s="72">
        <v>417</v>
      </c>
      <c r="J5" s="72">
        <v>514.20000000000005</v>
      </c>
      <c r="K5" s="72">
        <v>442.8</v>
      </c>
      <c r="L5" s="72">
        <v>340.2</v>
      </c>
      <c r="M5" s="72">
        <v>376.2</v>
      </c>
      <c r="N5" s="72">
        <v>387</v>
      </c>
      <c r="O5" s="72">
        <v>265.8</v>
      </c>
      <c r="P5" s="72">
        <v>478.8</v>
      </c>
      <c r="Q5" s="72">
        <v>178.2</v>
      </c>
      <c r="R5" s="72">
        <v>135</v>
      </c>
      <c r="S5" s="72">
        <v>168</v>
      </c>
      <c r="T5" s="72">
        <v>207</v>
      </c>
      <c r="U5" s="72">
        <v>48</v>
      </c>
      <c r="V5" s="72">
        <v>207</v>
      </c>
      <c r="W5" s="72">
        <v>165</v>
      </c>
      <c r="X5" s="72">
        <v>78</v>
      </c>
      <c r="Y5" s="72">
        <v>141</v>
      </c>
      <c r="Z5" s="72">
        <v>90</v>
      </c>
      <c r="AA5" s="72">
        <v>30</v>
      </c>
      <c r="AB5" s="72">
        <v>42</v>
      </c>
      <c r="AC5" s="72">
        <v>397.8</v>
      </c>
      <c r="AD5" s="72">
        <v>137.4</v>
      </c>
      <c r="AE5" s="72"/>
      <c r="AF5" s="72"/>
      <c r="AG5" s="72"/>
      <c r="AH5" s="108">
        <f t="shared" si="1"/>
        <v>8118</v>
      </c>
      <c r="AJ5" s="69" t="s">
        <v>177</v>
      </c>
      <c r="AK5" s="70" t="s">
        <v>63</v>
      </c>
      <c r="AM5" s="210"/>
    </row>
    <row r="6" spans="1:39" hidden="1" x14ac:dyDescent="0.25">
      <c r="A6" s="369" t="s">
        <v>153</v>
      </c>
      <c r="B6" s="370" t="s">
        <v>154</v>
      </c>
      <c r="C6" s="371"/>
      <c r="D6" s="372"/>
      <c r="E6" s="372"/>
      <c r="F6" s="372"/>
      <c r="G6" s="372"/>
      <c r="H6" s="372"/>
      <c r="I6" s="372"/>
      <c r="J6" s="372"/>
      <c r="K6" s="372"/>
      <c r="L6" s="372"/>
      <c r="M6" s="372"/>
      <c r="N6" s="372"/>
      <c r="O6" s="372"/>
      <c r="P6" s="372"/>
      <c r="Q6" s="372"/>
      <c r="R6" s="372"/>
      <c r="S6" s="372"/>
      <c r="T6" s="372"/>
      <c r="U6" s="372"/>
      <c r="V6" s="372"/>
      <c r="W6" s="372"/>
      <c r="X6" s="372"/>
      <c r="Y6" s="372"/>
      <c r="Z6" s="372"/>
      <c r="AA6" s="372"/>
      <c r="AB6" s="372"/>
      <c r="AC6" s="372"/>
      <c r="AD6" s="372"/>
      <c r="AE6" s="372"/>
      <c r="AF6" s="372"/>
      <c r="AG6" s="372"/>
      <c r="AH6" s="373">
        <f>SUM(C6:AG6)</f>
        <v>0</v>
      </c>
      <c r="AI6" s="374"/>
      <c r="AJ6" s="369" t="s">
        <v>153</v>
      </c>
      <c r="AK6" s="370" t="s">
        <v>154</v>
      </c>
      <c r="AM6" s="210"/>
    </row>
    <row r="7" spans="1:39" x14ac:dyDescent="0.25">
      <c r="A7" s="369" t="s">
        <v>155</v>
      </c>
      <c r="B7" s="370" t="s">
        <v>196</v>
      </c>
      <c r="C7" s="371">
        <v>80</v>
      </c>
      <c r="D7" s="372">
        <v>240</v>
      </c>
      <c r="E7" s="372">
        <v>397.5</v>
      </c>
      <c r="F7" s="372">
        <v>200</v>
      </c>
      <c r="G7" s="372">
        <v>1585</v>
      </c>
      <c r="H7" s="372">
        <v>1289.83</v>
      </c>
      <c r="I7" s="372"/>
      <c r="J7" s="372"/>
      <c r="K7" s="372">
        <v>375</v>
      </c>
      <c r="L7" s="372">
        <v>785</v>
      </c>
      <c r="M7" s="372">
        <v>455</v>
      </c>
      <c r="N7" s="372">
        <v>35</v>
      </c>
      <c r="O7" s="372">
        <v>185</v>
      </c>
      <c r="P7" s="372">
        <v>1190</v>
      </c>
      <c r="Q7" s="372">
        <v>342.5</v>
      </c>
      <c r="R7" s="372">
        <v>432.5</v>
      </c>
      <c r="S7" s="372"/>
      <c r="T7" s="372"/>
      <c r="U7" s="372">
        <v>281</v>
      </c>
      <c r="V7" s="372">
        <v>315</v>
      </c>
      <c r="W7" s="372"/>
      <c r="X7" s="372">
        <v>580</v>
      </c>
      <c r="Y7" s="372">
        <v>520</v>
      </c>
      <c r="Z7" s="372">
        <v>462.5</v>
      </c>
      <c r="AA7" s="372">
        <v>657.5</v>
      </c>
      <c r="AB7" s="372">
        <v>280</v>
      </c>
      <c r="AC7" s="372">
        <v>310</v>
      </c>
      <c r="AD7" s="372">
        <v>447.5</v>
      </c>
      <c r="AE7" s="372">
        <v>190</v>
      </c>
      <c r="AF7" s="372">
        <v>295</v>
      </c>
      <c r="AG7" s="372"/>
      <c r="AH7" s="373">
        <f>SUM(C7:AG7)</f>
        <v>11930.83</v>
      </c>
      <c r="AI7" s="374"/>
      <c r="AJ7" s="369" t="s">
        <v>155</v>
      </c>
      <c r="AK7" s="370" t="s">
        <v>196</v>
      </c>
      <c r="AM7" s="210"/>
    </row>
    <row r="8" spans="1:39" x14ac:dyDescent="0.25">
      <c r="A8" s="369" t="s">
        <v>155</v>
      </c>
      <c r="B8" s="370" t="s">
        <v>235</v>
      </c>
      <c r="C8" s="371">
        <v>2456</v>
      </c>
      <c r="D8" s="372">
        <v>1752</v>
      </c>
      <c r="E8" s="372">
        <v>1304</v>
      </c>
      <c r="F8" s="372">
        <v>1528</v>
      </c>
      <c r="G8" s="372">
        <v>2456</v>
      </c>
      <c r="H8" s="372">
        <v>1048</v>
      </c>
      <c r="I8" s="372">
        <v>1632</v>
      </c>
      <c r="J8" s="372">
        <v>1664</v>
      </c>
      <c r="K8" s="372">
        <v>1560</v>
      </c>
      <c r="L8" s="372">
        <v>584</v>
      </c>
      <c r="M8" s="372">
        <v>600</v>
      </c>
      <c r="N8" s="372">
        <v>2232</v>
      </c>
      <c r="O8" s="372">
        <v>2728</v>
      </c>
      <c r="P8" s="372">
        <v>2816</v>
      </c>
      <c r="Q8" s="372">
        <v>2408</v>
      </c>
      <c r="R8" s="372">
        <v>1736</v>
      </c>
      <c r="S8" s="372">
        <v>1080</v>
      </c>
      <c r="T8" s="372">
        <v>584</v>
      </c>
      <c r="U8" s="372">
        <v>1392</v>
      </c>
      <c r="V8" s="372">
        <v>1408</v>
      </c>
      <c r="W8" s="372">
        <v>1048</v>
      </c>
      <c r="X8" s="372">
        <v>496</v>
      </c>
      <c r="Y8" s="372">
        <v>824</v>
      </c>
      <c r="Z8" s="372">
        <v>688</v>
      </c>
      <c r="AA8" s="372">
        <v>1168</v>
      </c>
      <c r="AB8" s="372">
        <v>600</v>
      </c>
      <c r="AC8" s="372">
        <v>1616</v>
      </c>
      <c r="AD8" s="372">
        <v>1064</v>
      </c>
      <c r="AE8" s="372">
        <v>1064</v>
      </c>
      <c r="AF8" s="372">
        <v>1184</v>
      </c>
      <c r="AG8" s="372">
        <v>704</v>
      </c>
      <c r="AH8" s="373">
        <f>SUM(C8:AG8)</f>
        <v>43424</v>
      </c>
      <c r="AI8" s="374"/>
      <c r="AJ8" s="369" t="s">
        <v>155</v>
      </c>
      <c r="AK8" s="370" t="s">
        <v>235</v>
      </c>
      <c r="AM8" s="210"/>
    </row>
    <row r="9" spans="1:39" x14ac:dyDescent="0.25">
      <c r="A9" s="369" t="s">
        <v>160</v>
      </c>
      <c r="B9" s="370" t="s">
        <v>161</v>
      </c>
      <c r="C9" s="371"/>
      <c r="D9" s="372"/>
      <c r="E9" s="372"/>
      <c r="F9" s="372"/>
      <c r="G9" s="372"/>
      <c r="H9" s="372"/>
      <c r="I9" s="372"/>
      <c r="J9" s="372"/>
      <c r="K9" s="372"/>
      <c r="L9" s="372"/>
      <c r="M9" s="372"/>
      <c r="N9" s="372"/>
      <c r="O9" s="372"/>
      <c r="P9" s="372"/>
      <c r="Q9" s="372"/>
      <c r="R9" s="372"/>
      <c r="S9" s="372"/>
      <c r="T9" s="372"/>
      <c r="U9" s="372"/>
      <c r="V9" s="372"/>
      <c r="W9" s="372"/>
      <c r="X9" s="372"/>
      <c r="Y9" s="372"/>
      <c r="Z9" s="372"/>
      <c r="AA9" s="372"/>
      <c r="AB9" s="372"/>
      <c r="AC9" s="372"/>
      <c r="AD9" s="372"/>
      <c r="AE9" s="372"/>
      <c r="AF9" s="372"/>
      <c r="AG9" s="372"/>
      <c r="AH9" s="373">
        <f t="shared" ref="AH9:AH13" si="2">SUM(C9:AG9)</f>
        <v>0</v>
      </c>
      <c r="AI9" s="374"/>
      <c r="AJ9" s="369" t="s">
        <v>160</v>
      </c>
      <c r="AK9" s="370" t="s">
        <v>161</v>
      </c>
      <c r="AM9" s="210"/>
    </row>
    <row r="10" spans="1:39" x14ac:dyDescent="0.25">
      <c r="A10" s="369" t="s">
        <v>162</v>
      </c>
      <c r="B10" s="370" t="s">
        <v>163</v>
      </c>
      <c r="C10" s="371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3">
        <f t="shared" si="2"/>
        <v>0</v>
      </c>
      <c r="AI10" s="374"/>
      <c r="AJ10" s="369" t="s">
        <v>162</v>
      </c>
      <c r="AK10" s="370" t="s">
        <v>163</v>
      </c>
      <c r="AM10" s="210"/>
    </row>
    <row r="11" spans="1:39" hidden="1" x14ac:dyDescent="0.25">
      <c r="A11" s="369" t="s">
        <v>156</v>
      </c>
      <c r="B11" s="370" t="s">
        <v>157</v>
      </c>
      <c r="C11" s="371"/>
      <c r="D11" s="372"/>
      <c r="E11" s="372"/>
      <c r="F11" s="372"/>
      <c r="G11" s="372"/>
      <c r="H11" s="372"/>
      <c r="I11" s="372"/>
      <c r="J11" s="372"/>
      <c r="K11" s="372"/>
      <c r="L11" s="372"/>
      <c r="M11" s="372"/>
      <c r="N11" s="372"/>
      <c r="O11" s="372"/>
      <c r="P11" s="372"/>
      <c r="Q11" s="372"/>
      <c r="R11" s="372"/>
      <c r="S11" s="372"/>
      <c r="T11" s="372"/>
      <c r="U11" s="372"/>
      <c r="V11" s="372"/>
      <c r="W11" s="372"/>
      <c r="X11" s="372"/>
      <c r="Y11" s="372"/>
      <c r="Z11" s="372"/>
      <c r="AA11" s="372"/>
      <c r="AB11" s="372"/>
      <c r="AC11" s="372"/>
      <c r="AD11" s="372"/>
      <c r="AE11" s="372"/>
      <c r="AF11" s="372"/>
      <c r="AG11" s="372"/>
      <c r="AH11" s="373">
        <f t="shared" si="2"/>
        <v>0</v>
      </c>
      <c r="AI11" s="374"/>
      <c r="AJ11" s="369" t="s">
        <v>156</v>
      </c>
      <c r="AK11" s="370" t="s">
        <v>157</v>
      </c>
      <c r="AM11" s="210"/>
    </row>
    <row r="12" spans="1:39" hidden="1" x14ac:dyDescent="0.25">
      <c r="A12" s="369" t="s">
        <v>167</v>
      </c>
      <c r="B12" s="370" t="s">
        <v>168</v>
      </c>
      <c r="C12" s="371"/>
      <c r="D12" s="372"/>
      <c r="E12" s="372"/>
      <c r="F12" s="372"/>
      <c r="G12" s="372"/>
      <c r="H12" s="372"/>
      <c r="I12" s="372"/>
      <c r="J12" s="372"/>
      <c r="K12" s="372"/>
      <c r="L12" s="372"/>
      <c r="M12" s="372"/>
      <c r="N12" s="372"/>
      <c r="O12" s="372"/>
      <c r="P12" s="372"/>
      <c r="Q12" s="372"/>
      <c r="R12" s="372"/>
      <c r="S12" s="372"/>
      <c r="T12" s="372"/>
      <c r="U12" s="372"/>
      <c r="V12" s="372"/>
      <c r="W12" s="372"/>
      <c r="X12" s="372"/>
      <c r="Y12" s="372"/>
      <c r="Z12" s="372"/>
      <c r="AA12" s="372"/>
      <c r="AB12" s="372"/>
      <c r="AC12" s="372"/>
      <c r="AD12" s="372"/>
      <c r="AE12" s="372"/>
      <c r="AF12" s="372"/>
      <c r="AG12" s="372"/>
      <c r="AH12" s="373">
        <f t="shared" si="2"/>
        <v>0</v>
      </c>
      <c r="AI12" s="374"/>
      <c r="AJ12" s="369" t="s">
        <v>167</v>
      </c>
      <c r="AK12" s="370" t="s">
        <v>168</v>
      </c>
      <c r="AM12" s="210"/>
    </row>
    <row r="13" spans="1:39" hidden="1" x14ac:dyDescent="0.25">
      <c r="A13" s="369" t="s">
        <v>169</v>
      </c>
      <c r="B13" s="370" t="s">
        <v>170</v>
      </c>
      <c r="C13" s="371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  <c r="AB13" s="372"/>
      <c r="AC13" s="372"/>
      <c r="AD13" s="372"/>
      <c r="AE13" s="372"/>
      <c r="AF13" s="372"/>
      <c r="AG13" s="372"/>
      <c r="AH13" s="373">
        <f t="shared" si="2"/>
        <v>0</v>
      </c>
      <c r="AI13" s="374"/>
      <c r="AJ13" s="369" t="s">
        <v>169</v>
      </c>
      <c r="AK13" s="370" t="s">
        <v>170</v>
      </c>
      <c r="AM13" s="210"/>
    </row>
    <row r="14" spans="1:39" x14ac:dyDescent="0.25">
      <c r="A14" s="69" t="s">
        <v>34</v>
      </c>
      <c r="B14" s="70" t="s">
        <v>35</v>
      </c>
      <c r="C14" s="71">
        <v>48</v>
      </c>
      <c r="D14" s="72">
        <v>183</v>
      </c>
      <c r="E14" s="72">
        <v>44</v>
      </c>
      <c r="F14" s="72">
        <v>41</v>
      </c>
      <c r="G14" s="72">
        <v>133</v>
      </c>
      <c r="H14" s="72">
        <v>28</v>
      </c>
      <c r="I14" s="72">
        <v>56</v>
      </c>
      <c r="J14" s="72">
        <v>44</v>
      </c>
      <c r="K14" s="72">
        <v>36</v>
      </c>
      <c r="L14" s="72">
        <v>217</v>
      </c>
      <c r="M14" s="72">
        <v>32</v>
      </c>
      <c r="N14" s="72">
        <v>72</v>
      </c>
      <c r="O14" s="72">
        <v>44</v>
      </c>
      <c r="P14" s="72">
        <v>36</v>
      </c>
      <c r="Q14" s="72">
        <v>20</v>
      </c>
      <c r="R14" s="72">
        <v>172</v>
      </c>
      <c r="S14" s="72">
        <v>28</v>
      </c>
      <c r="T14" s="72">
        <v>86</v>
      </c>
      <c r="U14" s="72">
        <v>110</v>
      </c>
      <c r="V14" s="72">
        <v>24</v>
      </c>
      <c r="W14" s="72">
        <v>20</v>
      </c>
      <c r="X14" s="72">
        <v>136</v>
      </c>
      <c r="Y14" s="72">
        <v>24</v>
      </c>
      <c r="Z14" s="72">
        <v>45</v>
      </c>
      <c r="AA14" s="72">
        <v>49</v>
      </c>
      <c r="AB14" s="72">
        <v>64</v>
      </c>
      <c r="AC14" s="72">
        <v>16</v>
      </c>
      <c r="AD14" s="72">
        <v>8</v>
      </c>
      <c r="AE14" s="72">
        <v>16</v>
      </c>
      <c r="AF14" s="72">
        <v>97</v>
      </c>
      <c r="AG14" s="72">
        <v>56</v>
      </c>
      <c r="AH14" s="108">
        <f t="shared" si="1"/>
        <v>1985</v>
      </c>
      <c r="AJ14" s="69" t="s">
        <v>34</v>
      </c>
      <c r="AK14" s="70" t="s">
        <v>35</v>
      </c>
    </row>
    <row r="15" spans="1:39" x14ac:dyDescent="0.25">
      <c r="A15" s="69" t="s">
        <v>36</v>
      </c>
      <c r="B15" s="70" t="s">
        <v>37</v>
      </c>
      <c r="C15" s="71">
        <v>473.89</v>
      </c>
      <c r="D15" s="72">
        <v>708.31</v>
      </c>
      <c r="E15" s="72">
        <v>693.13</v>
      </c>
      <c r="F15" s="72">
        <v>473.43</v>
      </c>
      <c r="G15" s="72">
        <v>729.44</v>
      </c>
      <c r="H15" s="72">
        <v>1080.19</v>
      </c>
      <c r="I15" s="72">
        <v>703.14</v>
      </c>
      <c r="J15" s="72">
        <v>689.35</v>
      </c>
      <c r="K15" s="72">
        <v>638.01</v>
      </c>
      <c r="L15" s="72">
        <v>586.20000000000005</v>
      </c>
      <c r="M15" s="72">
        <v>458.69</v>
      </c>
      <c r="N15" s="72">
        <v>742.05</v>
      </c>
      <c r="O15" s="72">
        <v>816.7</v>
      </c>
      <c r="P15" s="72">
        <v>1087.73</v>
      </c>
      <c r="Q15" s="72">
        <v>385.19</v>
      </c>
      <c r="R15" s="72">
        <v>250.67</v>
      </c>
      <c r="S15" s="72">
        <v>374.19</v>
      </c>
      <c r="T15" s="72">
        <v>626.86</v>
      </c>
      <c r="U15" s="72">
        <v>363.06</v>
      </c>
      <c r="V15" s="72">
        <v>749.97</v>
      </c>
      <c r="W15" s="72">
        <v>562.02</v>
      </c>
      <c r="X15" s="72">
        <v>304.44</v>
      </c>
      <c r="Y15" s="72">
        <v>410.22</v>
      </c>
      <c r="Z15" s="72">
        <v>378.53</v>
      </c>
      <c r="AA15" s="72">
        <v>278.42</v>
      </c>
      <c r="AB15" s="72">
        <v>238.91</v>
      </c>
      <c r="AC15" s="72">
        <v>1004.44</v>
      </c>
      <c r="AD15" s="72">
        <v>451.16</v>
      </c>
      <c r="AE15" s="72">
        <v>437.93</v>
      </c>
      <c r="AF15" s="72">
        <v>373.69</v>
      </c>
      <c r="AG15" s="72">
        <v>253.08</v>
      </c>
      <c r="AH15" s="108">
        <f t="shared" si="1"/>
        <v>17323.04</v>
      </c>
      <c r="AJ15" s="69" t="s">
        <v>36</v>
      </c>
      <c r="AK15" s="70" t="s">
        <v>37</v>
      </c>
    </row>
    <row r="16" spans="1:39" hidden="1" x14ac:dyDescent="0.25">
      <c r="A16" s="69" t="s">
        <v>201</v>
      </c>
      <c r="B16" s="70" t="s">
        <v>112</v>
      </c>
      <c r="C16" s="71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108">
        <f t="shared" si="1"/>
        <v>0</v>
      </c>
      <c r="AJ16" s="69" t="s">
        <v>111</v>
      </c>
      <c r="AK16" s="70" t="s">
        <v>112</v>
      </c>
    </row>
    <row r="17" spans="1:39" x14ac:dyDescent="0.25">
      <c r="A17" s="69" t="s">
        <v>77</v>
      </c>
      <c r="B17" s="70" t="s">
        <v>78</v>
      </c>
      <c r="C17" s="71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108"/>
      <c r="AJ17" s="69"/>
      <c r="AK17" s="70"/>
    </row>
    <row r="18" spans="1:39" x14ac:dyDescent="0.25">
      <c r="A18" s="69" t="s">
        <v>77</v>
      </c>
      <c r="B18" s="70" t="s">
        <v>237</v>
      </c>
      <c r="C18" s="71">
        <v>48</v>
      </c>
      <c r="D18" s="72">
        <v>16</v>
      </c>
      <c r="E18" s="72">
        <v>84.5</v>
      </c>
      <c r="F18" s="72">
        <v>16</v>
      </c>
      <c r="G18" s="72">
        <v>161</v>
      </c>
      <c r="H18" s="72">
        <v>104.99</v>
      </c>
      <c r="I18" s="72">
        <v>32</v>
      </c>
      <c r="J18" s="72">
        <v>96</v>
      </c>
      <c r="K18" s="72"/>
      <c r="L18" s="72"/>
      <c r="M18" s="72"/>
      <c r="N18" s="72">
        <v>35</v>
      </c>
      <c r="O18" s="72">
        <v>121</v>
      </c>
      <c r="P18" s="72"/>
      <c r="Q18" s="72">
        <v>177.5</v>
      </c>
      <c r="R18" s="72">
        <v>52.5</v>
      </c>
      <c r="S18" s="72">
        <v>181</v>
      </c>
      <c r="T18" s="72"/>
      <c r="U18" s="72">
        <v>281</v>
      </c>
      <c r="V18" s="72">
        <v>16</v>
      </c>
      <c r="W18" s="72"/>
      <c r="X18" s="72"/>
      <c r="Y18" s="72">
        <v>135</v>
      </c>
      <c r="Z18" s="72">
        <v>62.5</v>
      </c>
      <c r="AA18" s="72">
        <v>277.5</v>
      </c>
      <c r="AB18" s="72">
        <v>80</v>
      </c>
      <c r="AC18" s="72"/>
      <c r="AD18" s="72">
        <v>137.5</v>
      </c>
      <c r="AE18" s="72">
        <v>145</v>
      </c>
      <c r="AF18" s="72"/>
      <c r="AG18" s="72">
        <v>16</v>
      </c>
      <c r="AH18" s="108">
        <f t="shared" si="1"/>
        <v>2275.9899999999998</v>
      </c>
      <c r="AJ18" s="69" t="s">
        <v>77</v>
      </c>
      <c r="AK18" s="70" t="s">
        <v>78</v>
      </c>
      <c r="AL18" s="210"/>
    </row>
    <row r="19" spans="1:39" x14ac:dyDescent="0.25">
      <c r="A19" s="69" t="s">
        <v>38</v>
      </c>
      <c r="B19" s="70" t="s">
        <v>39</v>
      </c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108">
        <f t="shared" si="1"/>
        <v>0</v>
      </c>
      <c r="AJ19" s="69" t="s">
        <v>38</v>
      </c>
      <c r="AK19" s="70" t="s">
        <v>39</v>
      </c>
    </row>
    <row r="20" spans="1:39" x14ac:dyDescent="0.25">
      <c r="A20" s="369" t="s">
        <v>164</v>
      </c>
      <c r="B20" s="370" t="s">
        <v>165</v>
      </c>
      <c r="C20" s="371">
        <v>45</v>
      </c>
      <c r="D20" s="372"/>
      <c r="E20" s="372"/>
      <c r="F20" s="372"/>
      <c r="G20" s="372"/>
      <c r="H20" s="372"/>
      <c r="I20" s="372"/>
      <c r="J20" s="372"/>
      <c r="K20" s="372"/>
      <c r="L20" s="372"/>
      <c r="M20" s="372"/>
      <c r="N20" s="372"/>
      <c r="O20" s="372"/>
      <c r="P20" s="372"/>
      <c r="Q20" s="372">
        <v>135</v>
      </c>
      <c r="R20" s="372"/>
      <c r="S20" s="372"/>
      <c r="T20" s="372">
        <v>90</v>
      </c>
      <c r="U20" s="372"/>
      <c r="V20" s="372">
        <v>360</v>
      </c>
      <c r="W20" s="372"/>
      <c r="X20" s="372"/>
      <c r="Y20" s="372"/>
      <c r="Z20" s="372"/>
      <c r="AA20" s="372"/>
      <c r="AB20" s="372"/>
      <c r="AC20" s="372"/>
      <c r="AD20" s="372"/>
      <c r="AE20" s="372">
        <v>45</v>
      </c>
      <c r="AF20" s="372"/>
      <c r="AG20" s="372">
        <v>90</v>
      </c>
      <c r="AH20" s="373">
        <f t="shared" si="1"/>
        <v>765</v>
      </c>
      <c r="AI20" s="374"/>
      <c r="AJ20" s="369" t="s">
        <v>164</v>
      </c>
      <c r="AK20" s="370" t="s">
        <v>166</v>
      </c>
    </row>
    <row r="21" spans="1:39" x14ac:dyDescent="0.25">
      <c r="A21" s="69" t="s">
        <v>40</v>
      </c>
      <c r="B21" s="70" t="s">
        <v>41</v>
      </c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108">
        <f t="shared" si="1"/>
        <v>0</v>
      </c>
      <c r="AJ21" s="69" t="s">
        <v>40</v>
      </c>
      <c r="AK21" s="70" t="s">
        <v>41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110</v>
      </c>
      <c r="B28" s="78" t="s">
        <v>86</v>
      </c>
      <c r="C28" s="79"/>
      <c r="D28" s="80"/>
      <c r="E28" s="80">
        <v>65</v>
      </c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>
        <v>70</v>
      </c>
      <c r="S28" s="80"/>
      <c r="T28" s="80"/>
      <c r="U28" s="80"/>
      <c r="V28" s="80"/>
      <c r="W28" s="80"/>
      <c r="X28" s="80"/>
      <c r="Y28" s="80">
        <v>65</v>
      </c>
      <c r="Z28" s="80"/>
      <c r="AA28" s="80"/>
      <c r="AB28" s="80"/>
      <c r="AC28" s="80"/>
      <c r="AD28" s="80"/>
      <c r="AE28" s="80"/>
      <c r="AF28" s="80"/>
      <c r="AG28" s="80"/>
      <c r="AH28" s="108">
        <f t="shared" si="1"/>
        <v>200</v>
      </c>
      <c r="AJ28" s="81" t="s">
        <v>110</v>
      </c>
      <c r="AK28" s="82" t="s">
        <v>86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10379.84</v>
      </c>
      <c r="D29" s="107">
        <f t="shared" si="3"/>
        <v>14824.37</v>
      </c>
      <c r="E29" s="107">
        <f t="shared" si="3"/>
        <v>12382.689999999999</v>
      </c>
      <c r="F29" s="107">
        <f t="shared" si="3"/>
        <v>11076.289999999999</v>
      </c>
      <c r="G29" s="107">
        <f t="shared" si="3"/>
        <v>15296.12</v>
      </c>
      <c r="H29" s="107">
        <f t="shared" si="3"/>
        <v>18155.39</v>
      </c>
      <c r="I29" s="107">
        <f t="shared" si="3"/>
        <v>13201.929999999998</v>
      </c>
      <c r="J29" s="107">
        <f t="shared" si="3"/>
        <v>12128.1</v>
      </c>
      <c r="K29" s="107">
        <f t="shared" si="3"/>
        <v>12167.029999999999</v>
      </c>
      <c r="L29" s="107">
        <f t="shared" si="3"/>
        <v>10425.600000000002</v>
      </c>
      <c r="M29" s="107">
        <f t="shared" si="3"/>
        <v>8387.4399999999987</v>
      </c>
      <c r="N29" s="107">
        <f t="shared" si="3"/>
        <v>12593.13</v>
      </c>
      <c r="O29" s="107">
        <f t="shared" si="3"/>
        <v>16153.81</v>
      </c>
      <c r="P29" s="107">
        <f t="shared" si="3"/>
        <v>15465.909999999998</v>
      </c>
      <c r="Q29" s="107">
        <f t="shared" si="3"/>
        <v>8210.81</v>
      </c>
      <c r="R29" s="107">
        <f t="shared" si="3"/>
        <v>7372.4000000000005</v>
      </c>
      <c r="S29" s="107">
        <f t="shared" si="3"/>
        <v>7250.03</v>
      </c>
      <c r="T29" s="107">
        <f t="shared" si="3"/>
        <v>8211.56</v>
      </c>
      <c r="U29" s="107">
        <f t="shared" si="3"/>
        <v>7015.5</v>
      </c>
      <c r="V29" s="107">
        <f t="shared" si="3"/>
        <v>11902.75</v>
      </c>
      <c r="W29" s="107">
        <f t="shared" si="3"/>
        <v>8854.17</v>
      </c>
      <c r="X29" s="107">
        <f t="shared" si="3"/>
        <v>5799.14</v>
      </c>
      <c r="Y29" s="107">
        <f t="shared" si="3"/>
        <v>7445.1200000000008</v>
      </c>
      <c r="Z29" s="107">
        <f t="shared" si="3"/>
        <v>6416.58</v>
      </c>
      <c r="AA29" s="107">
        <f t="shared" si="3"/>
        <v>7137.33</v>
      </c>
      <c r="AB29" s="107">
        <f t="shared" si="3"/>
        <v>5925.86</v>
      </c>
      <c r="AC29" s="107">
        <f t="shared" si="3"/>
        <v>16296.94</v>
      </c>
      <c r="AD29" s="107">
        <f t="shared" si="3"/>
        <v>9625.36</v>
      </c>
      <c r="AE29" s="107">
        <f t="shared" si="3"/>
        <v>6375.7400000000007</v>
      </c>
      <c r="AF29" s="107">
        <f t="shared" si="3"/>
        <v>5386.8</v>
      </c>
      <c r="AG29" s="107">
        <f t="shared" si="3"/>
        <v>4448.03</v>
      </c>
      <c r="AH29" s="109">
        <f>SUM(C3:AG28)</f>
        <v>316311.7699999999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105</v>
      </c>
      <c r="C30" s="72">
        <v>10379.84</v>
      </c>
      <c r="D30" s="72">
        <v>14824.37</v>
      </c>
      <c r="E30" s="72">
        <v>12382.69</v>
      </c>
      <c r="F30" s="72">
        <v>11076.29</v>
      </c>
      <c r="G30" s="72">
        <v>15296.12</v>
      </c>
      <c r="H30" s="72">
        <v>18155.39</v>
      </c>
      <c r="I30" s="72">
        <v>13201.93</v>
      </c>
      <c r="J30" s="72">
        <v>12128.1</v>
      </c>
      <c r="K30" s="72">
        <v>12402.03</v>
      </c>
      <c r="L30" s="72">
        <v>10425.6</v>
      </c>
      <c r="M30" s="72">
        <v>8387.44</v>
      </c>
      <c r="N30" s="72">
        <v>12593.13</v>
      </c>
      <c r="O30" s="72">
        <v>16153.81</v>
      </c>
      <c r="P30" s="72">
        <v>15465.91</v>
      </c>
      <c r="Q30" s="72">
        <v>8210.81</v>
      </c>
      <c r="R30" s="72">
        <v>7657.4</v>
      </c>
      <c r="S30" s="72">
        <v>7250.03</v>
      </c>
      <c r="T30" s="72">
        <v>8551.56</v>
      </c>
      <c r="U30" s="72">
        <v>7060.5</v>
      </c>
      <c r="V30" s="72">
        <v>11902.75</v>
      </c>
      <c r="W30" s="72">
        <v>8854.17</v>
      </c>
      <c r="X30" s="72">
        <v>6584.14</v>
      </c>
      <c r="Y30" s="72">
        <v>7445.12</v>
      </c>
      <c r="Z30" s="72">
        <v>6416.58</v>
      </c>
      <c r="AA30" s="72">
        <v>7137.33</v>
      </c>
      <c r="AB30" s="72">
        <v>5925.86</v>
      </c>
      <c r="AC30" s="72">
        <v>16296.94</v>
      </c>
      <c r="AD30" s="72">
        <v>9625.36</v>
      </c>
      <c r="AE30" s="72">
        <v>6375.74</v>
      </c>
      <c r="AF30" s="72">
        <v>5551.8</v>
      </c>
      <c r="AG30" s="72">
        <v>4448.03</v>
      </c>
      <c r="AH30" s="191">
        <f>SUM(C30:AG30)</f>
        <v>318166.77</v>
      </c>
      <c r="AI30" s="85"/>
      <c r="AJ30" s="190"/>
      <c r="AK30" s="190"/>
    </row>
    <row r="31" spans="1:39" s="60" customFormat="1" thickBot="1" x14ac:dyDescent="0.3">
      <c r="A31" s="201"/>
      <c r="B31" s="104" t="s">
        <v>104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-235.00000000000182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-284.99999999999909</v>
      </c>
      <c r="S31" s="133">
        <f t="shared" si="4"/>
        <v>0</v>
      </c>
      <c r="T31" s="133">
        <f t="shared" si="4"/>
        <v>-340</v>
      </c>
      <c r="U31" s="133">
        <f t="shared" si="4"/>
        <v>-45</v>
      </c>
      <c r="V31" s="133">
        <f t="shared" si="4"/>
        <v>0</v>
      </c>
      <c r="W31" s="133">
        <f t="shared" si="4"/>
        <v>0</v>
      </c>
      <c r="X31" s="133">
        <f t="shared" si="4"/>
        <v>-785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-165</v>
      </c>
      <c r="AG31" s="133">
        <f t="shared" si="4"/>
        <v>0</v>
      </c>
      <c r="AH31" s="277">
        <f t="shared" si="4"/>
        <v>-1855.0000000001164</v>
      </c>
      <c r="AI31" s="85"/>
      <c r="AJ31" s="503" t="s">
        <v>130</v>
      </c>
      <c r="AK31" s="504"/>
      <c r="AL31" s="504"/>
      <c r="AM31" s="505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131</v>
      </c>
      <c r="AL32" s="283" t="s">
        <v>123</v>
      </c>
      <c r="AM32" s="284" t="s">
        <v>124</v>
      </c>
    </row>
    <row r="33" spans="1:40" x14ac:dyDescent="0.25">
      <c r="A33" s="89" t="s">
        <v>60</v>
      </c>
      <c r="B33" s="84" t="s">
        <v>54</v>
      </c>
      <c r="C33" s="390">
        <v>2732.39</v>
      </c>
      <c r="D33" s="390">
        <v>2748.38</v>
      </c>
      <c r="E33" s="390">
        <v>2010.95</v>
      </c>
      <c r="F33" s="390">
        <v>1675.52</v>
      </c>
      <c r="G33" s="390">
        <v>1945.64</v>
      </c>
      <c r="H33" s="390">
        <v>2432.1999999999998</v>
      </c>
      <c r="I33" s="390">
        <v>2788.48</v>
      </c>
      <c r="J33" s="390">
        <v>1750.91</v>
      </c>
      <c r="K33" s="390">
        <v>2006.93</v>
      </c>
      <c r="L33" s="390">
        <v>1994.81</v>
      </c>
      <c r="M33" s="390">
        <v>1393.41</v>
      </c>
      <c r="N33" s="390">
        <v>2040.56</v>
      </c>
      <c r="O33" s="390">
        <v>2122.33</v>
      </c>
      <c r="P33" s="390">
        <v>2099.98</v>
      </c>
      <c r="Q33" s="390">
        <v>967.99</v>
      </c>
      <c r="R33" s="390">
        <v>1050.46</v>
      </c>
      <c r="S33" s="390">
        <v>1428.65</v>
      </c>
      <c r="T33" s="390">
        <v>1880.04</v>
      </c>
      <c r="U33" s="390">
        <v>1209.33</v>
      </c>
      <c r="V33" s="390">
        <v>1453.82</v>
      </c>
      <c r="W33" s="390">
        <v>1423.85</v>
      </c>
      <c r="X33" s="390">
        <v>1136.54</v>
      </c>
      <c r="Y33" s="390">
        <v>1117.6199999999999</v>
      </c>
      <c r="Z33" s="390">
        <v>1227.42</v>
      </c>
      <c r="AA33" s="390">
        <v>1062.75</v>
      </c>
      <c r="AB33" s="390">
        <v>1145.25</v>
      </c>
      <c r="AC33" s="390">
        <v>2895.75</v>
      </c>
      <c r="AD33" s="390">
        <v>2277.0300000000002</v>
      </c>
      <c r="AE33" s="390">
        <v>1011.01</v>
      </c>
      <c r="AF33" s="390">
        <v>946.87</v>
      </c>
      <c r="AG33" s="391">
        <v>1268.22</v>
      </c>
      <c r="AH33" s="110">
        <f>SUM(C33:AG33)</f>
        <v>53245.090000000011</v>
      </c>
      <c r="AJ33" s="137" t="s">
        <v>60</v>
      </c>
      <c r="AK33" s="138" t="s">
        <v>125</v>
      </c>
      <c r="AL33" s="385">
        <f>SUM(C33:AF33)</f>
        <v>51976.87000000001</v>
      </c>
      <c r="AM33" s="386">
        <f>SUM(AG33)</f>
        <v>1268.22</v>
      </c>
    </row>
    <row r="34" spans="1:40" x14ac:dyDescent="0.25">
      <c r="A34" s="90" t="s">
        <v>60</v>
      </c>
      <c r="B34" s="91" t="s">
        <v>55</v>
      </c>
      <c r="C34" s="470">
        <v>7647.45</v>
      </c>
      <c r="D34" s="470">
        <v>12076.41</v>
      </c>
      <c r="E34" s="470">
        <v>10611.74</v>
      </c>
      <c r="F34" s="470">
        <v>9400.77</v>
      </c>
      <c r="G34" s="470">
        <v>13354.86</v>
      </c>
      <c r="H34" s="470">
        <v>15486.2</v>
      </c>
      <c r="I34" s="470">
        <v>10413.450000000001</v>
      </c>
      <c r="J34" s="470">
        <v>10377.19</v>
      </c>
      <c r="K34" s="470">
        <v>10369.61</v>
      </c>
      <c r="L34" s="470">
        <v>8431.32</v>
      </c>
      <c r="M34" s="470">
        <v>6994.03</v>
      </c>
      <c r="N34" s="470">
        <v>10547.65</v>
      </c>
      <c r="O34" s="470">
        <v>14031.48</v>
      </c>
      <c r="P34" s="470">
        <v>13357.93</v>
      </c>
      <c r="Q34" s="470">
        <v>7242.57</v>
      </c>
      <c r="R34" s="470">
        <v>6363.94</v>
      </c>
      <c r="S34" s="470">
        <v>5811.11</v>
      </c>
      <c r="T34" s="470">
        <v>6307.32</v>
      </c>
      <c r="U34" s="470">
        <v>5791.37</v>
      </c>
      <c r="V34" s="470">
        <v>10399.74</v>
      </c>
      <c r="W34" s="470">
        <v>7422.19</v>
      </c>
      <c r="X34" s="470">
        <v>4657.6000000000004</v>
      </c>
      <c r="Y34" s="470">
        <v>6320.23</v>
      </c>
      <c r="Z34" s="470">
        <v>4780.79</v>
      </c>
      <c r="AA34" s="470">
        <v>6094.51</v>
      </c>
      <c r="AB34" s="470">
        <v>4774.6099999999997</v>
      </c>
      <c r="AC34" s="481">
        <v>13401.19</v>
      </c>
      <c r="AD34" s="481">
        <v>7312.33</v>
      </c>
      <c r="AE34" s="481">
        <v>5299.73</v>
      </c>
      <c r="AF34" s="481">
        <v>4397.93</v>
      </c>
      <c r="AG34" s="481">
        <v>3210.18</v>
      </c>
      <c r="AH34" s="111">
        <f t="shared" ref="AH34:AH38" si="5">SUM(C34:AG34)</f>
        <v>262687.43</v>
      </c>
      <c r="AJ34" s="129" t="s">
        <v>60</v>
      </c>
      <c r="AK34" s="130" t="s">
        <v>207</v>
      </c>
      <c r="AL34" s="290">
        <f>SUM(C34:AB34)-AL45</f>
        <v>222157.85</v>
      </c>
      <c r="AM34" s="291">
        <f>SUM(AC34:AG34)-AM45</f>
        <v>32610.11</v>
      </c>
    </row>
    <row r="35" spans="1:40" x14ac:dyDescent="0.25">
      <c r="A35" s="92" t="s">
        <v>60</v>
      </c>
      <c r="B35" s="93" t="s">
        <v>98</v>
      </c>
      <c r="C35" s="379"/>
      <c r="D35" s="379"/>
      <c r="E35" s="379"/>
      <c r="F35" s="389"/>
      <c r="G35" s="379"/>
      <c r="H35" s="379"/>
      <c r="I35" s="379"/>
      <c r="J35" s="379"/>
      <c r="K35" s="379"/>
      <c r="L35" s="379"/>
      <c r="M35" s="379"/>
      <c r="N35" s="379"/>
      <c r="O35" s="379"/>
      <c r="P35" s="379"/>
      <c r="Q35" s="379"/>
      <c r="R35" s="379"/>
      <c r="S35" s="379"/>
      <c r="T35" s="379"/>
      <c r="U35" s="379"/>
      <c r="V35" s="379"/>
      <c r="W35" s="379"/>
      <c r="X35" s="379"/>
      <c r="Y35" s="380"/>
      <c r="Z35" s="475">
        <v>342</v>
      </c>
      <c r="AA35" s="379"/>
      <c r="AB35" s="379"/>
      <c r="AC35" s="379"/>
      <c r="AD35" s="379"/>
      <c r="AE35" s="379"/>
      <c r="AF35" s="379"/>
      <c r="AG35" s="379"/>
      <c r="AH35" s="111">
        <f t="shared" si="5"/>
        <v>342</v>
      </c>
      <c r="AJ35" s="129" t="s">
        <v>60</v>
      </c>
      <c r="AK35" s="130" t="s">
        <v>126</v>
      </c>
      <c r="AL35" s="290">
        <f>SUM(C35:AD35)</f>
        <v>342</v>
      </c>
      <c r="AM35" s="291">
        <f>SUM(AE35:AG35)</f>
        <v>0</v>
      </c>
    </row>
    <row r="36" spans="1:40" hidden="1" x14ac:dyDescent="0.25">
      <c r="A36" s="92" t="s">
        <v>60</v>
      </c>
      <c r="B36" s="93" t="s">
        <v>99</v>
      </c>
      <c r="C36" s="379"/>
      <c r="D36" s="379"/>
      <c r="E36" s="379"/>
      <c r="F36" s="379"/>
      <c r="G36" s="379"/>
      <c r="H36" s="379"/>
      <c r="I36" s="379"/>
      <c r="J36" s="379"/>
      <c r="K36" s="379"/>
      <c r="L36" s="379"/>
      <c r="M36" s="379"/>
      <c r="N36" s="379"/>
      <c r="O36" s="379"/>
      <c r="P36" s="379"/>
      <c r="Q36" s="379"/>
      <c r="R36" s="379"/>
      <c r="S36" s="379"/>
      <c r="T36" s="379"/>
      <c r="U36" s="379"/>
      <c r="V36" s="379"/>
      <c r="W36" s="379"/>
      <c r="X36" s="379"/>
      <c r="Y36" s="379"/>
      <c r="Z36" s="379"/>
      <c r="AA36" s="379"/>
      <c r="AB36" s="379"/>
      <c r="AC36" s="379"/>
      <c r="AD36" s="379"/>
      <c r="AE36" s="379"/>
      <c r="AF36" s="379"/>
      <c r="AG36" s="379"/>
      <c r="AH36" s="111">
        <f t="shared" si="5"/>
        <v>0</v>
      </c>
      <c r="AJ36" s="129" t="s">
        <v>60</v>
      </c>
      <c r="AK36" s="130" t="s">
        <v>127</v>
      </c>
      <c r="AL36" s="290"/>
      <c r="AM36" s="387"/>
    </row>
    <row r="37" spans="1:40" ht="16.5" customHeight="1" x14ac:dyDescent="0.25">
      <c r="A37" s="92" t="s">
        <v>67</v>
      </c>
      <c r="B37" s="93" t="s">
        <v>68</v>
      </c>
      <c r="C37" s="379"/>
      <c r="D37" s="379"/>
      <c r="E37" s="379"/>
      <c r="F37" s="379"/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  <c r="S37" s="379"/>
      <c r="T37" s="379"/>
      <c r="U37" s="379"/>
      <c r="V37" s="379"/>
      <c r="W37" s="379"/>
      <c r="X37" s="379"/>
      <c r="Y37" s="379"/>
      <c r="Z37" s="379"/>
      <c r="AA37" s="379"/>
      <c r="AB37" s="379"/>
      <c r="AC37" s="379"/>
      <c r="AD37" s="379"/>
      <c r="AE37" s="379"/>
      <c r="AF37" s="379"/>
      <c r="AG37" s="379"/>
      <c r="AH37" s="111">
        <f t="shared" si="5"/>
        <v>0</v>
      </c>
      <c r="AJ37" s="129" t="s">
        <v>67</v>
      </c>
      <c r="AK37" s="130" t="s">
        <v>92</v>
      </c>
      <c r="AL37" s="269">
        <f>AH37</f>
        <v>0</v>
      </c>
      <c r="AM37" s="270"/>
      <c r="AN37" s="265" t="s">
        <v>128</v>
      </c>
    </row>
    <row r="38" spans="1:40" ht="16.5" thickBot="1" x14ac:dyDescent="0.3">
      <c r="A38" s="81" t="s">
        <v>110</v>
      </c>
      <c r="B38" s="94" t="s">
        <v>85</v>
      </c>
      <c r="C38" s="381"/>
      <c r="D38" s="381"/>
      <c r="E38" s="381"/>
      <c r="F38" s="381"/>
      <c r="G38" s="381"/>
      <c r="H38" s="381"/>
      <c r="I38" s="381"/>
      <c r="J38" s="381"/>
      <c r="K38" s="381"/>
      <c r="L38" s="381"/>
      <c r="M38" s="381"/>
      <c r="N38" s="381"/>
      <c r="O38" s="381"/>
      <c r="P38" s="381">
        <v>8</v>
      </c>
      <c r="Q38" s="381"/>
      <c r="R38" s="381"/>
      <c r="S38" s="381"/>
      <c r="T38" s="381"/>
      <c r="U38" s="381"/>
      <c r="V38" s="381"/>
      <c r="W38" s="381"/>
      <c r="X38" s="381"/>
      <c r="Y38" s="381"/>
      <c r="Z38" s="381"/>
      <c r="AA38" s="381"/>
      <c r="AB38" s="381"/>
      <c r="AC38" s="381"/>
      <c r="AD38" s="381">
        <v>36</v>
      </c>
      <c r="AE38" s="381">
        <v>65</v>
      </c>
      <c r="AF38" s="381"/>
      <c r="AG38" s="381"/>
      <c r="AH38" s="112">
        <f t="shared" si="5"/>
        <v>109</v>
      </c>
      <c r="AJ38" s="129" t="s">
        <v>110</v>
      </c>
      <c r="AK38" s="130" t="s">
        <v>159</v>
      </c>
      <c r="AL38" s="269">
        <f>AH38</f>
        <v>109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10379.84</v>
      </c>
      <c r="D39" s="107">
        <f t="shared" si="6"/>
        <v>14824.79</v>
      </c>
      <c r="E39" s="107">
        <f t="shared" si="6"/>
        <v>12622.69</v>
      </c>
      <c r="F39" s="107">
        <f t="shared" si="6"/>
        <v>11076.29</v>
      </c>
      <c r="G39" s="107">
        <f t="shared" si="6"/>
        <v>15300.5</v>
      </c>
      <c r="H39" s="107">
        <f t="shared" si="6"/>
        <v>17918.400000000001</v>
      </c>
      <c r="I39" s="107">
        <f t="shared" si="6"/>
        <v>13201.93</v>
      </c>
      <c r="J39" s="107">
        <f t="shared" si="6"/>
        <v>12128.1</v>
      </c>
      <c r="K39" s="107">
        <f t="shared" si="6"/>
        <v>12376.54</v>
      </c>
      <c r="L39" s="107">
        <f t="shared" si="6"/>
        <v>10426.129999999999</v>
      </c>
      <c r="M39" s="107">
        <f t="shared" si="6"/>
        <v>8387.44</v>
      </c>
      <c r="N39" s="107">
        <f t="shared" si="6"/>
        <v>12588.21</v>
      </c>
      <c r="O39" s="107">
        <f t="shared" si="6"/>
        <v>16153.81</v>
      </c>
      <c r="P39" s="107">
        <f t="shared" si="6"/>
        <v>15465.91</v>
      </c>
      <c r="Q39" s="107">
        <f t="shared" si="6"/>
        <v>8210.56</v>
      </c>
      <c r="R39" s="107">
        <f t="shared" si="6"/>
        <v>7414.4</v>
      </c>
      <c r="S39" s="107">
        <f t="shared" si="6"/>
        <v>7239.76</v>
      </c>
      <c r="T39" s="107">
        <f t="shared" si="6"/>
        <v>8187.36</v>
      </c>
      <c r="U39" s="107">
        <f t="shared" si="6"/>
        <v>7000.7</v>
      </c>
      <c r="V39" s="107">
        <f t="shared" si="6"/>
        <v>11853.56</v>
      </c>
      <c r="W39" s="107">
        <f t="shared" si="6"/>
        <v>8846.0399999999991</v>
      </c>
      <c r="X39" s="107">
        <f t="shared" si="6"/>
        <v>5794.14</v>
      </c>
      <c r="Y39" s="107">
        <f t="shared" si="6"/>
        <v>7437.8499999999995</v>
      </c>
      <c r="Z39" s="107">
        <f>SUM(Z33:Z38)</f>
        <v>6350.21</v>
      </c>
      <c r="AA39" s="107">
        <f t="shared" si="6"/>
        <v>7157.26</v>
      </c>
      <c r="AB39" s="107">
        <f t="shared" si="6"/>
        <v>5919.86</v>
      </c>
      <c r="AC39" s="107">
        <f t="shared" si="6"/>
        <v>16296.94</v>
      </c>
      <c r="AD39" s="107">
        <f t="shared" si="6"/>
        <v>9625.36</v>
      </c>
      <c r="AE39" s="107">
        <f t="shared" si="6"/>
        <v>6375.74</v>
      </c>
      <c r="AF39" s="107">
        <f t="shared" si="6"/>
        <v>5344.8</v>
      </c>
      <c r="AG39" s="107">
        <f t="shared" si="6"/>
        <v>4478.3999999999996</v>
      </c>
      <c r="AH39" s="110">
        <f>SUM(C39:AG39)</f>
        <v>316383.52</v>
      </c>
      <c r="AI39" s="59"/>
      <c r="AJ39" s="499" t="s">
        <v>76</v>
      </c>
      <c r="AK39" s="500"/>
      <c r="AL39" s="501">
        <f>SUM(AL33:AM38)</f>
        <v>308464.05</v>
      </c>
      <c r="AM39" s="502"/>
      <c r="AN39" s="273">
        <f>AL39-AH39+AL45+AM45</f>
        <v>-3.092281986027956E-11</v>
      </c>
    </row>
    <row r="40" spans="1:40" x14ac:dyDescent="0.25">
      <c r="A40" s="203"/>
      <c r="B40" s="194" t="s">
        <v>105</v>
      </c>
      <c r="C40" s="72">
        <f>C30</f>
        <v>10379.84</v>
      </c>
      <c r="D40" s="72">
        <f t="shared" ref="D40:AG40" si="7">D30</f>
        <v>14824.37</v>
      </c>
      <c r="E40" s="72">
        <f t="shared" si="7"/>
        <v>12382.69</v>
      </c>
      <c r="F40" s="72">
        <f t="shared" si="7"/>
        <v>11076.29</v>
      </c>
      <c r="G40" s="72">
        <f t="shared" si="7"/>
        <v>15296.12</v>
      </c>
      <c r="H40" s="72">
        <f t="shared" si="7"/>
        <v>18155.39</v>
      </c>
      <c r="I40" s="72">
        <f t="shared" si="7"/>
        <v>13201.93</v>
      </c>
      <c r="J40" s="72">
        <f t="shared" si="7"/>
        <v>12128.1</v>
      </c>
      <c r="K40" s="72">
        <f t="shared" si="7"/>
        <v>12402.03</v>
      </c>
      <c r="L40" s="72">
        <f t="shared" si="7"/>
        <v>10425.6</v>
      </c>
      <c r="M40" s="72">
        <f t="shared" si="7"/>
        <v>8387.44</v>
      </c>
      <c r="N40" s="72">
        <f t="shared" si="7"/>
        <v>12593.13</v>
      </c>
      <c r="O40" s="72">
        <f t="shared" si="7"/>
        <v>16153.81</v>
      </c>
      <c r="P40" s="72">
        <f t="shared" si="7"/>
        <v>15465.91</v>
      </c>
      <c r="Q40" s="72">
        <f t="shared" si="7"/>
        <v>8210.81</v>
      </c>
      <c r="R40" s="72">
        <f t="shared" si="7"/>
        <v>7657.4</v>
      </c>
      <c r="S40" s="72">
        <f t="shared" si="7"/>
        <v>7250.03</v>
      </c>
      <c r="T40" s="72">
        <f t="shared" si="7"/>
        <v>8551.56</v>
      </c>
      <c r="U40" s="72">
        <f t="shared" si="7"/>
        <v>7060.5</v>
      </c>
      <c r="V40" s="72">
        <f t="shared" si="7"/>
        <v>11902.75</v>
      </c>
      <c r="W40" s="72">
        <f t="shared" si="7"/>
        <v>8854.17</v>
      </c>
      <c r="X40" s="72">
        <f t="shared" si="7"/>
        <v>6584.14</v>
      </c>
      <c r="Y40" s="72">
        <f t="shared" si="7"/>
        <v>7445.12</v>
      </c>
      <c r="Z40" s="72">
        <f t="shared" si="7"/>
        <v>6416.58</v>
      </c>
      <c r="AA40" s="72">
        <f t="shared" si="7"/>
        <v>7137.33</v>
      </c>
      <c r="AB40" s="72">
        <f t="shared" si="7"/>
        <v>5925.86</v>
      </c>
      <c r="AC40" s="72">
        <f t="shared" si="7"/>
        <v>16296.94</v>
      </c>
      <c r="AD40" s="72">
        <f t="shared" si="7"/>
        <v>9625.36</v>
      </c>
      <c r="AE40" s="72">
        <f t="shared" si="7"/>
        <v>6375.74</v>
      </c>
      <c r="AF40" s="72">
        <f t="shared" si="7"/>
        <v>5551.8</v>
      </c>
      <c r="AG40" s="72">
        <f t="shared" si="7"/>
        <v>4448.03</v>
      </c>
      <c r="AH40" s="111">
        <f t="shared" ref="AH40:AH41" si="8">SUM(C40:AG40)</f>
        <v>318166.77</v>
      </c>
      <c r="AJ40" s="59"/>
      <c r="AK40" s="59"/>
    </row>
    <row r="41" spans="1:40" ht="16.5" thickBot="1" x14ac:dyDescent="0.3">
      <c r="A41" s="204"/>
      <c r="B41" s="104" t="s">
        <v>104</v>
      </c>
      <c r="C41" s="133">
        <f>C39-C40</f>
        <v>0</v>
      </c>
      <c r="D41" s="133">
        <f>D39-D40</f>
        <v>0.42000000000007276</v>
      </c>
      <c r="E41" s="133">
        <f>E39-E40</f>
        <v>240</v>
      </c>
      <c r="F41" s="133">
        <f t="shared" ref="F41:AG41" si="9">F39-F40</f>
        <v>0</v>
      </c>
      <c r="G41" s="133">
        <f t="shared" si="9"/>
        <v>4.3799999999991996</v>
      </c>
      <c r="H41" s="133">
        <f t="shared" si="9"/>
        <v>-236.98999999999796</v>
      </c>
      <c r="I41" s="133">
        <f t="shared" si="9"/>
        <v>0</v>
      </c>
      <c r="J41" s="133">
        <f t="shared" si="9"/>
        <v>0</v>
      </c>
      <c r="K41" s="133">
        <f t="shared" si="9"/>
        <v>-25.489999999999782</v>
      </c>
      <c r="L41" s="133">
        <f t="shared" si="9"/>
        <v>0.52999999999883585</v>
      </c>
      <c r="M41" s="133">
        <f t="shared" si="9"/>
        <v>0</v>
      </c>
      <c r="N41" s="133">
        <f t="shared" si="9"/>
        <v>-4.9200000000000728</v>
      </c>
      <c r="O41" s="133">
        <f t="shared" si="9"/>
        <v>0</v>
      </c>
      <c r="P41" s="133">
        <f t="shared" si="9"/>
        <v>0</v>
      </c>
      <c r="Q41" s="133">
        <f t="shared" si="9"/>
        <v>-0.25</v>
      </c>
      <c r="R41" s="133">
        <f t="shared" si="9"/>
        <v>-243</v>
      </c>
      <c r="S41" s="133">
        <f t="shared" si="9"/>
        <v>-10.269999999999527</v>
      </c>
      <c r="T41" s="133">
        <f t="shared" si="9"/>
        <v>-364.19999999999982</v>
      </c>
      <c r="U41" s="133">
        <f t="shared" si="9"/>
        <v>-59.800000000000182</v>
      </c>
      <c r="V41" s="133">
        <f t="shared" si="9"/>
        <v>-49.190000000000509</v>
      </c>
      <c r="W41" s="133">
        <f t="shared" si="9"/>
        <v>-8.1300000000010186</v>
      </c>
      <c r="X41" s="133">
        <f t="shared" si="9"/>
        <v>-790</v>
      </c>
      <c r="Y41" s="133">
        <f t="shared" si="9"/>
        <v>-7.2700000000004366</v>
      </c>
      <c r="Z41" s="133">
        <f t="shared" si="9"/>
        <v>-66.369999999999891</v>
      </c>
      <c r="AA41" s="133">
        <f t="shared" si="9"/>
        <v>19.930000000000291</v>
      </c>
      <c r="AB41" s="133">
        <f t="shared" si="9"/>
        <v>-6</v>
      </c>
      <c r="AC41" s="133">
        <f t="shared" si="9"/>
        <v>0</v>
      </c>
      <c r="AD41" s="133">
        <f t="shared" si="9"/>
        <v>0</v>
      </c>
      <c r="AE41" s="133">
        <f t="shared" si="9"/>
        <v>0</v>
      </c>
      <c r="AF41" s="133">
        <f t="shared" si="9"/>
        <v>-207</v>
      </c>
      <c r="AG41" s="133">
        <f t="shared" si="9"/>
        <v>30.369999999999891</v>
      </c>
      <c r="AH41" s="112">
        <f t="shared" si="8"/>
        <v>-1783.2500000000009</v>
      </c>
      <c r="AJ41" s="376">
        <f>AH39-AH40</f>
        <v>-1783.25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0</v>
      </c>
      <c r="D43" s="114">
        <f t="shared" si="10"/>
        <v>-0.42000000000007276</v>
      </c>
      <c r="E43" s="114">
        <f t="shared" si="10"/>
        <v>-240.00000000000182</v>
      </c>
      <c r="F43" s="114">
        <f t="shared" si="10"/>
        <v>0</v>
      </c>
      <c r="G43" s="114">
        <f t="shared" si="10"/>
        <v>-4.3799999999991996</v>
      </c>
      <c r="H43" s="114">
        <f t="shared" si="10"/>
        <v>236.98999999999796</v>
      </c>
      <c r="I43" s="114">
        <f t="shared" si="10"/>
        <v>0</v>
      </c>
      <c r="J43" s="114">
        <f t="shared" si="10"/>
        <v>0</v>
      </c>
      <c r="K43" s="114">
        <f>SUM(K3:K28)-SUM(K33:K38)</f>
        <v>-209.51000000000204</v>
      </c>
      <c r="L43" s="114">
        <f t="shared" si="10"/>
        <v>-0.52999999999701686</v>
      </c>
      <c r="M43" s="114">
        <f t="shared" si="10"/>
        <v>0</v>
      </c>
      <c r="N43" s="114">
        <f t="shared" si="10"/>
        <v>4.9200000000000728</v>
      </c>
      <c r="O43" s="114">
        <f t="shared" si="10"/>
        <v>0</v>
      </c>
      <c r="P43" s="114">
        <f t="shared" si="10"/>
        <v>0</v>
      </c>
      <c r="Q43" s="114">
        <f t="shared" si="10"/>
        <v>0.25</v>
      </c>
      <c r="R43" s="114">
        <f t="shared" si="10"/>
        <v>-41.999999999999091</v>
      </c>
      <c r="S43" s="114">
        <f t="shared" si="10"/>
        <v>10.269999999999527</v>
      </c>
      <c r="T43" s="114">
        <f t="shared" si="10"/>
        <v>24.199999999999818</v>
      </c>
      <c r="U43" s="114">
        <f t="shared" si="10"/>
        <v>14.800000000000182</v>
      </c>
      <c r="V43" s="114">
        <f t="shared" si="10"/>
        <v>49.190000000000509</v>
      </c>
      <c r="W43" s="114">
        <f t="shared" si="10"/>
        <v>8.1300000000010186</v>
      </c>
      <c r="X43" s="114">
        <f t="shared" si="10"/>
        <v>5</v>
      </c>
      <c r="Y43" s="114">
        <f t="shared" si="10"/>
        <v>7.2700000000013461</v>
      </c>
      <c r="Z43" s="114">
        <f t="shared" si="10"/>
        <v>66.369999999999891</v>
      </c>
      <c r="AA43" s="114">
        <f t="shared" si="10"/>
        <v>-19.930000000000291</v>
      </c>
      <c r="AB43" s="114">
        <f t="shared" si="10"/>
        <v>6</v>
      </c>
      <c r="AC43" s="114">
        <f t="shared" si="10"/>
        <v>0</v>
      </c>
      <c r="AD43" s="114">
        <f t="shared" si="10"/>
        <v>0</v>
      </c>
      <c r="AE43" s="114">
        <f t="shared" si="10"/>
        <v>0</v>
      </c>
      <c r="AF43" s="114">
        <f t="shared" si="10"/>
        <v>42</v>
      </c>
      <c r="AG43" s="114">
        <f t="shared" si="10"/>
        <v>-30.369999999999891</v>
      </c>
      <c r="AH43" s="115">
        <f>SUM(C43:AG43)</f>
        <v>-71.749999999999091</v>
      </c>
      <c r="AI43" s="62"/>
      <c r="AJ43" s="211" t="s">
        <v>32</v>
      </c>
      <c r="AK43" s="212" t="s">
        <v>91</v>
      </c>
      <c r="AL43" s="271">
        <f>AH43</f>
        <v>-71.749999999999091</v>
      </c>
      <c r="AM43" s="272"/>
      <c r="AN43" s="274" t="s">
        <v>129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316311.76999999996</v>
      </c>
      <c r="AN44" s="102">
        <f>AM44-AH29</f>
        <v>0</v>
      </c>
    </row>
    <row r="45" spans="1:40" s="99" customFormat="1" ht="16.5" thickBot="1" x14ac:dyDescent="0.3">
      <c r="A45" s="211" t="s">
        <v>203</v>
      </c>
      <c r="B45" s="101" t="s">
        <v>202</v>
      </c>
      <c r="C45" s="471">
        <f>229.39+0.04</f>
        <v>229.42999999999998</v>
      </c>
      <c r="D45" s="471">
        <f>364.17+0.1-0.06</f>
        <v>364.21000000000004</v>
      </c>
      <c r="E45" s="471">
        <f>318.34+0.04</f>
        <v>318.38</v>
      </c>
      <c r="F45" s="471">
        <v>283.31</v>
      </c>
      <c r="G45" s="471">
        <f>404.31+0.15</f>
        <v>404.46</v>
      </c>
      <c r="H45" s="471">
        <v>465.21</v>
      </c>
      <c r="I45" s="471">
        <v>312.42</v>
      </c>
      <c r="J45" s="471">
        <v>311.81</v>
      </c>
      <c r="K45" s="471">
        <v>311.11</v>
      </c>
      <c r="L45" s="471">
        <v>254.65</v>
      </c>
      <c r="M45" s="471">
        <f>213.09-2.64</f>
        <v>210.45000000000002</v>
      </c>
      <c r="N45" s="471">
        <v>317.85000000000002</v>
      </c>
      <c r="O45" s="471">
        <v>422.37</v>
      </c>
      <c r="P45" s="471">
        <v>400.75</v>
      </c>
      <c r="Q45" s="471">
        <v>217.29</v>
      </c>
      <c r="R45" s="471">
        <v>190.9</v>
      </c>
      <c r="S45" s="471">
        <v>174.35</v>
      </c>
      <c r="T45" s="471">
        <v>189.87</v>
      </c>
      <c r="U45" s="471">
        <v>179.4</v>
      </c>
      <c r="V45" s="471">
        <v>312.99</v>
      </c>
      <c r="W45" s="471">
        <v>222.67</v>
      </c>
      <c r="X45" s="471">
        <v>150.07</v>
      </c>
      <c r="Y45" s="471">
        <v>189.6</v>
      </c>
      <c r="Z45" s="471">
        <v>144.49</v>
      </c>
      <c r="AA45" s="471">
        <v>183.8</v>
      </c>
      <c r="AB45" s="471">
        <v>146.38</v>
      </c>
      <c r="AC45" s="482">
        <v>402.08</v>
      </c>
      <c r="AD45" s="482">
        <v>220.62</v>
      </c>
      <c r="AE45" s="482">
        <v>160.27000000000001</v>
      </c>
      <c r="AF45" s="482">
        <v>131.96</v>
      </c>
      <c r="AG45" s="483">
        <v>96.32</v>
      </c>
      <c r="AH45" s="115">
        <f t="shared" ref="AH45" si="11">SUM(C45:AG45)</f>
        <v>7919.4699999999993</v>
      </c>
      <c r="AI45" s="62"/>
      <c r="AJ45" s="211" t="s">
        <v>203</v>
      </c>
      <c r="AK45" s="212" t="s">
        <v>204</v>
      </c>
      <c r="AL45" s="271">
        <f>SUM(C45:AB45)</f>
        <v>6908.2199999999993</v>
      </c>
      <c r="AM45" s="272">
        <f>SUM(AC45:AG45)</f>
        <v>1011.25</v>
      </c>
      <c r="AN45" s="274"/>
    </row>
    <row r="46" spans="1:40" s="102" customFormat="1" ht="16.5" thickBot="1" x14ac:dyDescent="0.3">
      <c r="A46" s="224"/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522</v>
      </c>
      <c r="D47" s="84">
        <v>790</v>
      </c>
      <c r="E47" s="84">
        <v>674</v>
      </c>
      <c r="F47" s="84">
        <v>579</v>
      </c>
      <c r="G47" s="84">
        <v>669</v>
      </c>
      <c r="H47" s="84">
        <v>906</v>
      </c>
      <c r="I47" s="84">
        <v>707</v>
      </c>
      <c r="J47" s="84">
        <v>649</v>
      </c>
      <c r="K47" s="84">
        <v>587</v>
      </c>
      <c r="L47" s="84">
        <v>559</v>
      </c>
      <c r="M47" s="84">
        <v>472</v>
      </c>
      <c r="N47" s="84">
        <v>663</v>
      </c>
      <c r="O47" s="84">
        <v>838</v>
      </c>
      <c r="P47" s="84">
        <v>724</v>
      </c>
      <c r="Q47" s="84">
        <v>354</v>
      </c>
      <c r="R47" s="84">
        <v>332</v>
      </c>
      <c r="S47" s="84">
        <v>393</v>
      </c>
      <c r="T47" s="84">
        <v>468</v>
      </c>
      <c r="U47" s="84">
        <v>303</v>
      </c>
      <c r="V47" s="84">
        <v>639</v>
      </c>
      <c r="W47" s="84">
        <v>481</v>
      </c>
      <c r="X47" s="84">
        <v>310</v>
      </c>
      <c r="Y47" s="84">
        <v>380</v>
      </c>
      <c r="Z47" s="84">
        <v>296</v>
      </c>
      <c r="AA47" s="84">
        <v>324</v>
      </c>
      <c r="AB47" s="84">
        <v>277</v>
      </c>
      <c r="AC47" s="84">
        <v>834</v>
      </c>
      <c r="AD47" s="84">
        <v>509</v>
      </c>
      <c r="AE47" s="84">
        <v>345</v>
      </c>
      <c r="AF47" s="84">
        <v>317</v>
      </c>
      <c r="AG47" s="84">
        <v>237</v>
      </c>
      <c r="AH47" s="103">
        <f>SUM(C47:AG47)</f>
        <v>16138</v>
      </c>
      <c r="AJ47" s="126">
        <f>AH47</f>
        <v>16138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83</v>
      </c>
      <c r="D48" s="94">
        <v>109</v>
      </c>
      <c r="E48" s="94">
        <v>105</v>
      </c>
      <c r="F48" s="94">
        <v>98</v>
      </c>
      <c r="G48" s="94">
        <v>96</v>
      </c>
      <c r="H48" s="94">
        <v>119</v>
      </c>
      <c r="I48" s="94">
        <v>125</v>
      </c>
      <c r="J48" s="94">
        <v>78</v>
      </c>
      <c r="K48" s="94">
        <v>116</v>
      </c>
      <c r="L48" s="94">
        <v>116</v>
      </c>
      <c r="M48" s="94">
        <v>64</v>
      </c>
      <c r="N48" s="94">
        <v>141</v>
      </c>
      <c r="O48" s="94">
        <v>100</v>
      </c>
      <c r="P48" s="94">
        <v>135</v>
      </c>
      <c r="Q48" s="94">
        <v>91</v>
      </c>
      <c r="R48" s="94">
        <v>66</v>
      </c>
      <c r="S48" s="94">
        <v>62</v>
      </c>
      <c r="T48" s="94">
        <v>114</v>
      </c>
      <c r="U48" s="94">
        <v>75</v>
      </c>
      <c r="V48" s="94">
        <v>105</v>
      </c>
      <c r="W48" s="94">
        <v>90</v>
      </c>
      <c r="X48" s="94">
        <v>46</v>
      </c>
      <c r="Y48" s="94">
        <v>82</v>
      </c>
      <c r="Z48" s="94">
        <v>105</v>
      </c>
      <c r="AA48" s="94">
        <v>75</v>
      </c>
      <c r="AB48" s="94">
        <v>80</v>
      </c>
      <c r="AC48" s="94">
        <v>154</v>
      </c>
      <c r="AD48" s="94">
        <v>97</v>
      </c>
      <c r="AE48" s="94">
        <v>84</v>
      </c>
      <c r="AF48" s="94">
        <v>85</v>
      </c>
      <c r="AG48" s="94">
        <v>67</v>
      </c>
      <c r="AH48" s="105">
        <f>SUM(C48:AG48)</f>
        <v>2963</v>
      </c>
      <c r="AJ48" s="135">
        <f>AH48</f>
        <v>2963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107</v>
      </c>
      <c r="C50" s="212">
        <f>C47+C48</f>
        <v>605</v>
      </c>
      <c r="D50" s="212">
        <f t="shared" ref="D50:AG50" si="12">D47+D48</f>
        <v>899</v>
      </c>
      <c r="E50" s="212">
        <f t="shared" si="12"/>
        <v>779</v>
      </c>
      <c r="F50" s="212">
        <f t="shared" si="12"/>
        <v>677</v>
      </c>
      <c r="G50" s="212">
        <f t="shared" si="12"/>
        <v>765</v>
      </c>
      <c r="H50" s="212">
        <f t="shared" si="12"/>
        <v>1025</v>
      </c>
      <c r="I50" s="212">
        <f t="shared" si="12"/>
        <v>832</v>
      </c>
      <c r="J50" s="212">
        <f t="shared" si="12"/>
        <v>727</v>
      </c>
      <c r="K50" s="212">
        <f t="shared" si="12"/>
        <v>703</v>
      </c>
      <c r="L50" s="212">
        <f t="shared" si="12"/>
        <v>675</v>
      </c>
      <c r="M50" s="212">
        <f t="shared" si="12"/>
        <v>536</v>
      </c>
      <c r="N50" s="212">
        <f t="shared" si="12"/>
        <v>804</v>
      </c>
      <c r="O50" s="212">
        <f t="shared" si="12"/>
        <v>938</v>
      </c>
      <c r="P50" s="212">
        <f t="shared" si="12"/>
        <v>859</v>
      </c>
      <c r="Q50" s="212">
        <f t="shared" si="12"/>
        <v>445</v>
      </c>
      <c r="R50" s="212">
        <f t="shared" si="12"/>
        <v>398</v>
      </c>
      <c r="S50" s="212">
        <f t="shared" si="12"/>
        <v>455</v>
      </c>
      <c r="T50" s="212">
        <f t="shared" si="12"/>
        <v>582</v>
      </c>
      <c r="U50" s="212">
        <f t="shared" si="12"/>
        <v>378</v>
      </c>
      <c r="V50" s="212">
        <f t="shared" si="12"/>
        <v>744</v>
      </c>
      <c r="W50" s="212">
        <f t="shared" si="12"/>
        <v>571</v>
      </c>
      <c r="X50" s="212">
        <f t="shared" si="12"/>
        <v>356</v>
      </c>
      <c r="Y50" s="212">
        <f t="shared" si="12"/>
        <v>462</v>
      </c>
      <c r="Z50" s="212">
        <f t="shared" si="12"/>
        <v>401</v>
      </c>
      <c r="AA50" s="212">
        <f t="shared" si="12"/>
        <v>399</v>
      </c>
      <c r="AB50" s="212">
        <f t="shared" si="12"/>
        <v>357</v>
      </c>
      <c r="AC50" s="212">
        <f t="shared" si="12"/>
        <v>988</v>
      </c>
      <c r="AD50" s="212">
        <f t="shared" si="12"/>
        <v>606</v>
      </c>
      <c r="AE50" s="212">
        <f t="shared" si="12"/>
        <v>429</v>
      </c>
      <c r="AF50" s="212">
        <f t="shared" si="12"/>
        <v>402</v>
      </c>
      <c r="AG50" s="281">
        <f t="shared" si="12"/>
        <v>304</v>
      </c>
      <c r="AH50" s="280">
        <f>SUM(C50:AG50)</f>
        <v>19101</v>
      </c>
      <c r="AJ50" s="211">
        <f>AH50</f>
        <v>19101</v>
      </c>
      <c r="AK50" s="220" t="s">
        <v>107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106</v>
      </c>
      <c r="C52" s="215">
        <f>IF(C50&lt;=1,0,IF(C50&gt;=0,(SUM(C4+C6)/C50)))</f>
        <v>11.160661157024792</v>
      </c>
      <c r="D52" s="215">
        <f t="shared" ref="D52:AG52" si="13">IF(D50&lt;=1,0,IF(D50&gt;=0,(SUM(D4+D6)/D50)))</f>
        <v>12.526362625139043</v>
      </c>
      <c r="E52" s="215">
        <f t="shared" si="13"/>
        <v>11.894480102695763</v>
      </c>
      <c r="F52" s="215">
        <f t="shared" si="13"/>
        <v>12.423042836041358</v>
      </c>
      <c r="G52" s="215">
        <f t="shared" si="13"/>
        <v>12.684183006535948</v>
      </c>
      <c r="H52" s="215">
        <f t="shared" si="13"/>
        <v>13.594731707317074</v>
      </c>
      <c r="I52" s="215">
        <f t="shared" si="13"/>
        <v>12.373557692307692</v>
      </c>
      <c r="J52" s="215">
        <f t="shared" si="13"/>
        <v>12.455295735900963</v>
      </c>
      <c r="K52" s="215">
        <f t="shared" si="13"/>
        <v>12.878236130867709</v>
      </c>
      <c r="L52" s="215">
        <f t="shared" si="13"/>
        <v>11.637925925925927</v>
      </c>
      <c r="M52" s="215">
        <f t="shared" si="13"/>
        <v>11.980223880597014</v>
      </c>
      <c r="N52" s="215">
        <f t="shared" si="13"/>
        <v>11.217910447761195</v>
      </c>
      <c r="O52" s="215">
        <f t="shared" si="13"/>
        <v>12.701918976545842</v>
      </c>
      <c r="P52" s="215">
        <f t="shared" si="13"/>
        <v>11.353667054714784</v>
      </c>
      <c r="Q52" s="215">
        <f t="shared" si="13"/>
        <v>10.169438202247191</v>
      </c>
      <c r="R52" s="215">
        <f t="shared" si="13"/>
        <v>11.301005025125628</v>
      </c>
      <c r="S52" s="215">
        <f t="shared" si="13"/>
        <v>11.828571428571429</v>
      </c>
      <c r="T52" s="215">
        <f t="shared" si="13"/>
        <v>11.26529209621993</v>
      </c>
      <c r="U52" s="215">
        <f t="shared" si="13"/>
        <v>11.918518518518518</v>
      </c>
      <c r="V52" s="215">
        <f t="shared" si="13"/>
        <v>11.761424731182796</v>
      </c>
      <c r="W52" s="215">
        <f t="shared" si="13"/>
        <v>12.269176882661997</v>
      </c>
      <c r="X52" s="215">
        <f t="shared" si="13"/>
        <v>11.726404494382024</v>
      </c>
      <c r="Y52" s="215">
        <f t="shared" si="13"/>
        <v>11.440692640692642</v>
      </c>
      <c r="Z52" s="215">
        <f t="shared" si="13"/>
        <v>11.603491271820449</v>
      </c>
      <c r="AA52" s="215">
        <f t="shared" si="13"/>
        <v>11.653634085213033</v>
      </c>
      <c r="AB52" s="215">
        <f t="shared" si="13"/>
        <v>12.877310924369747</v>
      </c>
      <c r="AC52" s="215">
        <f t="shared" si="13"/>
        <v>13.012348178137653</v>
      </c>
      <c r="AD52" s="215">
        <f t="shared" si="13"/>
        <v>12.103630363036304</v>
      </c>
      <c r="AE52" s="215">
        <f t="shared" si="13"/>
        <v>10.33939393939394</v>
      </c>
      <c r="AF52" s="215">
        <f t="shared" si="13"/>
        <v>8.4552238805970141</v>
      </c>
      <c r="AG52" s="215">
        <f t="shared" si="13"/>
        <v>10.872368421052631</v>
      </c>
      <c r="AH52" s="280">
        <f>IFERROR(AVERAGEIF(C52:AG52, "&lt;&gt;0"),)</f>
        <v>11.789681366535417</v>
      </c>
      <c r="AJ52" s="221">
        <f>AH52</f>
        <v>11.789681366535417</v>
      </c>
      <c r="AK52" s="222" t="s">
        <v>108</v>
      </c>
    </row>
    <row r="53" spans="1:37" ht="16.5" thickBot="1" x14ac:dyDescent="0.3"/>
    <row r="54" spans="1:37" ht="16.5" thickBot="1" x14ac:dyDescent="0.3">
      <c r="A54" s="211"/>
      <c r="B54" s="212" t="s">
        <v>120</v>
      </c>
      <c r="C54" s="242">
        <f t="shared" ref="C54:H54" si="14">IF(C47&lt;=1,0,IF(C47&gt;=0,(SUM(C4+C6)/C47)))</f>
        <v>12.935249042145594</v>
      </c>
      <c r="D54" s="242">
        <f t="shared" si="14"/>
        <v>14.254683544303798</v>
      </c>
      <c r="E54" s="242">
        <f t="shared" si="14"/>
        <v>13.747477744807121</v>
      </c>
      <c r="F54" s="242">
        <f t="shared" si="14"/>
        <v>14.52573402417962</v>
      </c>
      <c r="G54" s="242">
        <f t="shared" si="14"/>
        <v>14.504334828101644</v>
      </c>
      <c r="H54" s="242">
        <f t="shared" si="14"/>
        <v>15.380353200883002</v>
      </c>
      <c r="I54" s="242">
        <f>IF(I47&lt;=1,0,IF(I47&gt;=0,(SUM(I4+I6)/I47)))</f>
        <v>14.561244695898161</v>
      </c>
      <c r="J54" s="242">
        <f t="shared" ref="J54:AG54" si="15">IF(J47&lt;=1,0,IF(J47&gt;=0,(SUM(J4+J6)/J47)))</f>
        <v>13.952234206471495</v>
      </c>
      <c r="K54" s="242">
        <f t="shared" si="15"/>
        <v>15.423168654173764</v>
      </c>
      <c r="L54" s="242">
        <f t="shared" si="15"/>
        <v>14.052951699463328</v>
      </c>
      <c r="M54" s="242">
        <f t="shared" si="15"/>
        <v>13.604661016949152</v>
      </c>
      <c r="N54" s="242">
        <f t="shared" si="15"/>
        <v>13.603619909502264</v>
      </c>
      <c r="O54" s="242">
        <f t="shared" si="15"/>
        <v>14.217661097852028</v>
      </c>
      <c r="P54" s="242">
        <f t="shared" si="15"/>
        <v>13.470718232044199</v>
      </c>
      <c r="Q54" s="242">
        <f t="shared" si="15"/>
        <v>12.783615819209038</v>
      </c>
      <c r="R54" s="242">
        <f t="shared" si="15"/>
        <v>13.547590361445783</v>
      </c>
      <c r="S54" s="242">
        <f t="shared" si="15"/>
        <v>13.694656488549619</v>
      </c>
      <c r="T54" s="242">
        <f t="shared" si="15"/>
        <v>14.009401709401709</v>
      </c>
      <c r="U54" s="242">
        <f t="shared" si="15"/>
        <v>14.868646864686468</v>
      </c>
      <c r="V54" s="242">
        <f t="shared" si="15"/>
        <v>13.694053208137715</v>
      </c>
      <c r="W54" s="242">
        <f t="shared" si="15"/>
        <v>14.564864864864864</v>
      </c>
      <c r="X54" s="242">
        <f t="shared" si="15"/>
        <v>13.466451612903226</v>
      </c>
      <c r="Y54" s="242">
        <f t="shared" si="15"/>
        <v>13.909473684210527</v>
      </c>
      <c r="Z54" s="242">
        <f t="shared" si="15"/>
        <v>15.719594594594595</v>
      </c>
      <c r="AA54" s="242">
        <f t="shared" si="15"/>
        <v>14.351234567901235</v>
      </c>
      <c r="AB54" s="242">
        <f t="shared" si="15"/>
        <v>16.596389891696749</v>
      </c>
      <c r="AC54" s="242">
        <f t="shared" si="15"/>
        <v>15.415107913669065</v>
      </c>
      <c r="AD54" s="242">
        <f t="shared" si="15"/>
        <v>14.410216110019647</v>
      </c>
      <c r="AE54" s="242">
        <f t="shared" si="15"/>
        <v>12.856811594202899</v>
      </c>
      <c r="AF54" s="242">
        <f t="shared" si="15"/>
        <v>10.722397476340694</v>
      </c>
      <c r="AG54" s="242">
        <f t="shared" si="15"/>
        <v>13.945991561181433</v>
      </c>
      <c r="AH54" s="279">
        <f>IFERROR(AVERAGEIF(C54:AG54, "&lt;&gt;0"),)</f>
        <v>14.090019039348077</v>
      </c>
      <c r="AI54" s="243"/>
      <c r="AJ54" s="244">
        <f>AH54</f>
        <v>14.090019039348077</v>
      </c>
      <c r="AK54" s="222" t="s">
        <v>121</v>
      </c>
    </row>
    <row r="55" spans="1:37" ht="16.5" thickBot="1" x14ac:dyDescent="0.3"/>
    <row r="56" spans="1:37" ht="16.5" thickBot="1" x14ac:dyDescent="0.3">
      <c r="A56" s="294"/>
      <c r="B56" s="295" t="s">
        <v>133</v>
      </c>
      <c r="C56" s="296"/>
      <c r="D56" s="296"/>
      <c r="E56" s="296"/>
      <c r="F56" s="296"/>
      <c r="G56" s="296"/>
      <c r="H56" s="296"/>
      <c r="I56" s="296"/>
      <c r="J56" s="296"/>
      <c r="K56" s="296"/>
      <c r="L56" s="296"/>
      <c r="M56" s="296"/>
      <c r="N56" s="296"/>
      <c r="O56" s="296"/>
      <c r="P56" s="296"/>
      <c r="Q56" s="296"/>
      <c r="R56" s="296"/>
      <c r="S56" s="296"/>
      <c r="T56" s="296"/>
      <c r="U56" s="296"/>
      <c r="V56" s="296"/>
      <c r="W56" s="296"/>
      <c r="X56" s="296"/>
      <c r="Y56" s="296"/>
      <c r="Z56" s="296"/>
      <c r="AA56" s="296"/>
      <c r="AB56" s="296"/>
      <c r="AC56" s="296"/>
      <c r="AD56" s="296"/>
      <c r="AE56" s="296"/>
      <c r="AF56" s="296"/>
      <c r="AG56" s="296"/>
      <c r="AH56" s="297" t="s">
        <v>134</v>
      </c>
      <c r="AJ56" s="298" t="s">
        <v>134</v>
      </c>
      <c r="AK56" s="299" t="s">
        <v>131</v>
      </c>
    </row>
    <row r="57" spans="1:37" x14ac:dyDescent="0.25">
      <c r="A57" s="90"/>
      <c r="B57" s="300" t="s">
        <v>135</v>
      </c>
      <c r="C57" s="91">
        <v>98</v>
      </c>
      <c r="D57" s="91">
        <v>97</v>
      </c>
      <c r="E57" s="91">
        <v>97</v>
      </c>
      <c r="F57" s="91">
        <v>99</v>
      </c>
      <c r="G57" s="91">
        <v>98</v>
      </c>
      <c r="H57" s="91">
        <v>98</v>
      </c>
      <c r="I57" s="91">
        <v>98</v>
      </c>
      <c r="J57" s="91">
        <v>98</v>
      </c>
      <c r="K57" s="91">
        <v>98</v>
      </c>
      <c r="L57" s="91">
        <v>98</v>
      </c>
      <c r="M57" s="91">
        <v>97</v>
      </c>
      <c r="N57" s="91">
        <v>98</v>
      </c>
      <c r="O57" s="91">
        <v>98</v>
      </c>
      <c r="P57" s="91">
        <v>97</v>
      </c>
      <c r="Q57" s="91">
        <v>98</v>
      </c>
      <c r="R57" s="91">
        <v>97</v>
      </c>
      <c r="S57" s="91">
        <v>95</v>
      </c>
      <c r="T57" s="91">
        <v>98</v>
      </c>
      <c r="U57" s="91">
        <v>98</v>
      </c>
      <c r="V57" s="91">
        <v>97</v>
      </c>
      <c r="W57" s="91">
        <v>97</v>
      </c>
      <c r="X57" s="91">
        <v>98</v>
      </c>
      <c r="Y57" s="91">
        <v>97</v>
      </c>
      <c r="Z57" s="91">
        <v>98</v>
      </c>
      <c r="AA57" s="91">
        <v>98</v>
      </c>
      <c r="AB57" s="91">
        <v>98</v>
      </c>
      <c r="AC57" s="91">
        <v>98</v>
      </c>
      <c r="AD57" s="91">
        <v>96</v>
      </c>
      <c r="AE57" s="91">
        <v>94</v>
      </c>
      <c r="AF57" s="91">
        <v>95</v>
      </c>
      <c r="AG57" s="91">
        <v>97</v>
      </c>
      <c r="AH57" s="301">
        <f>IFERROR(AVERAGEIF(C57:AG57,"&lt;&gt;0"),)</f>
        <v>97.354838709677423</v>
      </c>
      <c r="AJ57" s="302">
        <f>AH57</f>
        <v>97.354838709677423</v>
      </c>
      <c r="AK57" s="303" t="s">
        <v>136</v>
      </c>
    </row>
    <row r="58" spans="1:37" x14ac:dyDescent="0.25">
      <c r="A58" s="90"/>
      <c r="B58" s="300" t="s">
        <v>158</v>
      </c>
      <c r="C58" s="91">
        <v>89</v>
      </c>
      <c r="D58" s="91">
        <v>88</v>
      </c>
      <c r="E58" s="91">
        <v>87</v>
      </c>
      <c r="F58" s="91">
        <v>89</v>
      </c>
      <c r="G58" s="91">
        <v>90</v>
      </c>
      <c r="H58" s="91">
        <v>91</v>
      </c>
      <c r="I58" s="91">
        <v>90</v>
      </c>
      <c r="J58" s="91">
        <v>88</v>
      </c>
      <c r="K58" s="91">
        <v>89</v>
      </c>
      <c r="L58" s="91">
        <v>88</v>
      </c>
      <c r="M58" s="91">
        <v>88</v>
      </c>
      <c r="N58" s="91">
        <v>89</v>
      </c>
      <c r="O58" s="91">
        <v>90</v>
      </c>
      <c r="P58" s="91">
        <v>91</v>
      </c>
      <c r="Q58" s="91">
        <v>88</v>
      </c>
      <c r="R58" s="91">
        <v>88</v>
      </c>
      <c r="S58" s="91">
        <v>83</v>
      </c>
      <c r="T58" s="91">
        <v>89</v>
      </c>
      <c r="U58" s="91">
        <v>90</v>
      </c>
      <c r="V58" s="91">
        <v>88</v>
      </c>
      <c r="W58" s="91">
        <v>90</v>
      </c>
      <c r="X58" s="91">
        <v>89</v>
      </c>
      <c r="Y58" s="91">
        <v>89</v>
      </c>
      <c r="Z58" s="91">
        <v>83</v>
      </c>
      <c r="AA58" s="91">
        <v>90</v>
      </c>
      <c r="AB58" s="91">
        <v>85</v>
      </c>
      <c r="AC58" s="91">
        <v>88</v>
      </c>
      <c r="AD58" s="91">
        <v>89</v>
      </c>
      <c r="AE58" s="91">
        <v>87</v>
      </c>
      <c r="AF58" s="91">
        <v>84</v>
      </c>
      <c r="AG58" s="91">
        <v>83</v>
      </c>
      <c r="AH58" s="301">
        <f t="shared" ref="AH58:AH60" si="16">IFERROR(AVERAGEIF(C58:AG58,"&lt;&gt;0"),)</f>
        <v>88.064516129032256</v>
      </c>
      <c r="AJ58" s="304">
        <f>AH58</f>
        <v>88.064516129032256</v>
      </c>
      <c r="AK58" s="305" t="s">
        <v>137</v>
      </c>
    </row>
    <row r="59" spans="1:37" x14ac:dyDescent="0.25">
      <c r="A59" s="90"/>
      <c r="B59" s="300" t="s">
        <v>138</v>
      </c>
      <c r="C59" s="300">
        <v>80</v>
      </c>
      <c r="D59" s="300">
        <v>78</v>
      </c>
      <c r="E59" s="300">
        <v>79</v>
      </c>
      <c r="F59" s="300">
        <v>81</v>
      </c>
      <c r="G59" s="300">
        <v>80</v>
      </c>
      <c r="H59" s="300">
        <v>81</v>
      </c>
      <c r="I59" s="300">
        <v>80</v>
      </c>
      <c r="J59" s="300">
        <v>80</v>
      </c>
      <c r="K59" s="300">
        <v>80</v>
      </c>
      <c r="L59" s="300">
        <v>80</v>
      </c>
      <c r="M59" s="300">
        <v>79</v>
      </c>
      <c r="N59" s="300">
        <v>80</v>
      </c>
      <c r="O59" s="300">
        <v>80</v>
      </c>
      <c r="P59" s="300">
        <v>80</v>
      </c>
      <c r="Q59" s="300">
        <v>81</v>
      </c>
      <c r="R59" s="300">
        <v>80</v>
      </c>
      <c r="S59" s="300">
        <v>80</v>
      </c>
      <c r="T59" s="300">
        <v>80</v>
      </c>
      <c r="U59" s="300">
        <v>81</v>
      </c>
      <c r="V59" s="300">
        <v>80</v>
      </c>
      <c r="W59" s="300">
        <v>80</v>
      </c>
      <c r="X59" s="300">
        <v>80</v>
      </c>
      <c r="Y59" s="300">
        <v>80</v>
      </c>
      <c r="Z59" s="300">
        <v>78</v>
      </c>
      <c r="AA59" s="300">
        <v>79</v>
      </c>
      <c r="AB59" s="300">
        <v>79</v>
      </c>
      <c r="AC59" s="300">
        <v>80</v>
      </c>
      <c r="AD59" s="300">
        <v>79</v>
      </c>
      <c r="AE59" s="300">
        <v>77</v>
      </c>
      <c r="AF59" s="300">
        <v>76</v>
      </c>
      <c r="AG59" s="300">
        <v>77</v>
      </c>
      <c r="AH59" s="301">
        <f t="shared" si="16"/>
        <v>79.516129032258064</v>
      </c>
      <c r="AJ59" s="304">
        <f>AH59</f>
        <v>79.516129032258064</v>
      </c>
      <c r="AK59" s="305" t="s">
        <v>139</v>
      </c>
    </row>
    <row r="60" spans="1:37" ht="16.5" thickBot="1" x14ac:dyDescent="0.3">
      <c r="A60" s="81"/>
      <c r="B60" s="306" t="s">
        <v>140</v>
      </c>
      <c r="C60" s="307"/>
      <c r="D60" s="307"/>
      <c r="E60" s="307"/>
      <c r="F60" s="307"/>
      <c r="G60" s="307"/>
      <c r="H60" s="307"/>
      <c r="I60" s="307"/>
      <c r="J60" s="307"/>
      <c r="K60" s="307"/>
      <c r="L60" s="307"/>
      <c r="M60" s="307"/>
      <c r="N60" s="307"/>
      <c r="O60" s="307"/>
      <c r="P60" s="307"/>
      <c r="Q60" s="307"/>
      <c r="R60" s="307"/>
      <c r="S60" s="307"/>
      <c r="T60" s="307"/>
      <c r="U60" s="307"/>
      <c r="V60" s="307"/>
      <c r="W60" s="307"/>
      <c r="X60" s="307"/>
      <c r="Y60" s="307"/>
      <c r="Z60" s="307"/>
      <c r="AA60" s="307"/>
      <c r="AB60" s="307"/>
      <c r="AC60" s="307"/>
      <c r="AD60" s="307"/>
      <c r="AE60" s="307"/>
      <c r="AF60" s="307"/>
      <c r="AG60" s="307"/>
      <c r="AH60" s="308">
        <f t="shared" si="16"/>
        <v>0</v>
      </c>
      <c r="AJ60" s="309">
        <f>AH60</f>
        <v>0</v>
      </c>
      <c r="AK60" s="82" t="s">
        <v>141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tabSelected="1" workbookViewId="0">
      <pane xSplit="2" ySplit="2" topLeftCell="T21" activePane="bottomRight" state="frozen"/>
      <selection pane="topRight" activeCell="C1" sqref="C1"/>
      <selection pane="bottomLeft" activeCell="A3" sqref="A3"/>
      <selection pane="bottomRight" activeCell="T19" sqref="T19"/>
    </sheetView>
  </sheetViews>
  <sheetFormatPr defaultColWidth="9.140625"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.7109375" style="59" bestFit="1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40" width="9.7109375" style="59" bestFit="1" customWidth="1"/>
    <col min="41" max="16384" width="9.140625" style="59"/>
  </cols>
  <sheetData>
    <row r="1" spans="1:37" ht="15.75" thickBot="1" x14ac:dyDescent="0.3">
      <c r="A1" s="170" t="s">
        <v>118</v>
      </c>
      <c r="B1" s="285" t="str">
        <f>'Cash Flow'!C1</f>
        <v>August</v>
      </c>
      <c r="C1" s="228" t="str">
        <f t="array" ref="C1:AG1">TRANSPOSE('Cash Flow'!B8:B38)</f>
        <v>Mon</v>
      </c>
      <c r="D1" s="228" t="str">
        <v>Tue</v>
      </c>
      <c r="E1" s="228" t="str">
        <v>Wed</v>
      </c>
      <c r="F1" s="228" t="str">
        <v>Thu</v>
      </c>
      <c r="G1" s="228" t="str">
        <v>Fri</v>
      </c>
      <c r="H1" s="228" t="str">
        <v>Sat</v>
      </c>
      <c r="I1" s="228" t="str">
        <v>Sun</v>
      </c>
      <c r="J1" s="228" t="str">
        <v>Mon</v>
      </c>
      <c r="K1" s="228" t="str">
        <v>Tue</v>
      </c>
      <c r="L1" s="228" t="str">
        <v>Wed</v>
      </c>
      <c r="M1" s="228" t="str">
        <v>Thu</v>
      </c>
      <c r="N1" s="228" t="str">
        <v>Fri</v>
      </c>
      <c r="O1" s="228" t="str">
        <v>Sat</v>
      </c>
      <c r="P1" s="228" t="str">
        <v>Sun</v>
      </c>
      <c r="Q1" s="228" t="str">
        <v>Mon</v>
      </c>
      <c r="R1" s="228" t="str">
        <v>Tue</v>
      </c>
      <c r="S1" s="228" t="str">
        <v>Wed</v>
      </c>
      <c r="T1" s="228" t="str">
        <v>Thu</v>
      </c>
      <c r="U1" s="228" t="str">
        <v>Fri</v>
      </c>
      <c r="V1" s="228" t="str">
        <v>Sat</v>
      </c>
      <c r="W1" s="228" t="str">
        <v>Sun</v>
      </c>
      <c r="X1" s="228" t="str">
        <v>Mon</v>
      </c>
      <c r="Y1" s="228" t="str">
        <v>Tue</v>
      </c>
      <c r="Z1" s="228" t="str">
        <v>Wed</v>
      </c>
      <c r="AA1" s="228" t="str">
        <v>Thu</v>
      </c>
      <c r="AB1" s="228" t="str">
        <v>Fri</v>
      </c>
      <c r="AC1" s="228" t="str">
        <v>Sat</v>
      </c>
      <c r="AD1" s="228" t="str">
        <v>Sun</v>
      </c>
      <c r="AE1" s="228" t="str">
        <v>Mon</v>
      </c>
      <c r="AF1" s="228" t="str">
        <v>Tue</v>
      </c>
      <c r="AG1" s="228" t="str">
        <v>Wed</v>
      </c>
    </row>
    <row r="2" spans="1:37" ht="16.5" thickBot="1" x14ac:dyDescent="0.3">
      <c r="A2" s="117" t="s">
        <v>66</v>
      </c>
      <c r="B2" s="118" t="s">
        <v>131</v>
      </c>
      <c r="C2" s="106">
        <f>'Cash Flow'!A8</f>
        <v>44774</v>
      </c>
      <c r="D2" s="106">
        <f t="shared" ref="D2:AG2" si="0">C2+1</f>
        <v>44775</v>
      </c>
      <c r="E2" s="106">
        <f t="shared" si="0"/>
        <v>44776</v>
      </c>
      <c r="F2" s="106">
        <f t="shared" si="0"/>
        <v>44777</v>
      </c>
      <c r="G2" s="106">
        <f t="shared" si="0"/>
        <v>44778</v>
      </c>
      <c r="H2" s="106">
        <f t="shared" si="0"/>
        <v>44779</v>
      </c>
      <c r="I2" s="106">
        <f t="shared" si="0"/>
        <v>44780</v>
      </c>
      <c r="J2" s="106">
        <f t="shared" si="0"/>
        <v>44781</v>
      </c>
      <c r="K2" s="106">
        <f t="shared" si="0"/>
        <v>44782</v>
      </c>
      <c r="L2" s="106">
        <f t="shared" si="0"/>
        <v>44783</v>
      </c>
      <c r="M2" s="106">
        <f t="shared" si="0"/>
        <v>44784</v>
      </c>
      <c r="N2" s="106">
        <f t="shared" si="0"/>
        <v>44785</v>
      </c>
      <c r="O2" s="106">
        <f t="shared" si="0"/>
        <v>44786</v>
      </c>
      <c r="P2" s="106">
        <f t="shared" si="0"/>
        <v>44787</v>
      </c>
      <c r="Q2" s="106">
        <f t="shared" si="0"/>
        <v>44788</v>
      </c>
      <c r="R2" s="106">
        <f t="shared" si="0"/>
        <v>44789</v>
      </c>
      <c r="S2" s="106">
        <f t="shared" si="0"/>
        <v>44790</v>
      </c>
      <c r="T2" s="106">
        <f t="shared" si="0"/>
        <v>44791</v>
      </c>
      <c r="U2" s="106">
        <f t="shared" si="0"/>
        <v>44792</v>
      </c>
      <c r="V2" s="106">
        <f t="shared" si="0"/>
        <v>44793</v>
      </c>
      <c r="W2" s="106">
        <f t="shared" si="0"/>
        <v>44794</v>
      </c>
      <c r="X2" s="106">
        <f t="shared" si="0"/>
        <v>44795</v>
      </c>
      <c r="Y2" s="106">
        <f t="shared" si="0"/>
        <v>44796</v>
      </c>
      <c r="Z2" s="106">
        <f t="shared" si="0"/>
        <v>44797</v>
      </c>
      <c r="AA2" s="106">
        <f t="shared" si="0"/>
        <v>44798</v>
      </c>
      <c r="AB2" s="106">
        <f t="shared" si="0"/>
        <v>44799</v>
      </c>
      <c r="AC2" s="106">
        <f t="shared" si="0"/>
        <v>44800</v>
      </c>
      <c r="AD2" s="106">
        <f t="shared" si="0"/>
        <v>44801</v>
      </c>
      <c r="AE2" s="106">
        <f t="shared" si="0"/>
        <v>44802</v>
      </c>
      <c r="AF2" s="106">
        <f t="shared" si="0"/>
        <v>44803</v>
      </c>
      <c r="AG2" s="106">
        <f t="shared" si="0"/>
        <v>44804</v>
      </c>
      <c r="AH2" s="119" t="s">
        <v>59</v>
      </c>
      <c r="AJ2" s="63" t="s">
        <v>66</v>
      </c>
      <c r="AK2" s="64" t="s">
        <v>131</v>
      </c>
    </row>
    <row r="3" spans="1:37" ht="15.75" x14ac:dyDescent="0.25">
      <c r="A3" s="120" t="s">
        <v>61</v>
      </c>
      <c r="B3" s="121" t="s">
        <v>83</v>
      </c>
      <c r="C3" s="113">
        <v>16.690000000000001</v>
      </c>
      <c r="D3" s="113">
        <v>16.97</v>
      </c>
      <c r="E3" s="113">
        <v>25.38</v>
      </c>
      <c r="F3" s="113">
        <v>9.41</v>
      </c>
      <c r="G3" s="113">
        <v>17.84</v>
      </c>
      <c r="H3" s="113">
        <v>28.49</v>
      </c>
      <c r="I3" s="113">
        <v>23.51</v>
      </c>
      <c r="J3" s="113">
        <v>5.9</v>
      </c>
      <c r="K3" s="113">
        <v>18.920000000000002</v>
      </c>
      <c r="L3" s="113">
        <v>25.37</v>
      </c>
      <c r="M3" s="113">
        <v>20.45</v>
      </c>
      <c r="N3" s="113">
        <v>16.32</v>
      </c>
      <c r="O3" s="113">
        <v>22.57</v>
      </c>
      <c r="P3" s="113">
        <v>10.83</v>
      </c>
      <c r="Q3" s="113">
        <v>18.739999999999998</v>
      </c>
      <c r="R3" s="113">
        <v>17.350000000000001</v>
      </c>
      <c r="S3" s="113">
        <v>17.59</v>
      </c>
      <c r="T3" s="113">
        <v>11.42</v>
      </c>
      <c r="U3" s="113">
        <v>9.39</v>
      </c>
      <c r="V3" s="113">
        <v>9.85</v>
      </c>
      <c r="W3" s="113">
        <v>8.0500000000000007</v>
      </c>
      <c r="X3" s="113">
        <v>6.17</v>
      </c>
      <c r="Y3" s="113">
        <v>5.86</v>
      </c>
      <c r="Z3" s="113">
        <v>9.6</v>
      </c>
      <c r="AA3" s="113">
        <v>12.9</v>
      </c>
      <c r="AB3" s="113">
        <v>8.3800000000000008</v>
      </c>
      <c r="AC3" s="113">
        <v>34.28</v>
      </c>
      <c r="AD3" s="113">
        <v>16.86</v>
      </c>
      <c r="AE3" s="113">
        <v>6.69</v>
      </c>
      <c r="AF3" s="113">
        <v>14.22</v>
      </c>
      <c r="AG3" s="113">
        <v>16.190000000000001</v>
      </c>
      <c r="AH3" s="108">
        <f t="shared" ref="AH3:AH15" si="1">SUM(C3:AG3)</f>
        <v>482.19000000000005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>
        <v>1379</v>
      </c>
      <c r="D4" s="124">
        <v>1517</v>
      </c>
      <c r="E4" s="124">
        <f>1498-8</f>
        <v>1490</v>
      </c>
      <c r="F4" s="124">
        <v>1566</v>
      </c>
      <c r="G4" s="124">
        <v>1355</v>
      </c>
      <c r="H4" s="124">
        <v>1922</v>
      </c>
      <c r="I4" s="124">
        <v>1218</v>
      </c>
      <c r="J4" s="124">
        <v>1209</v>
      </c>
      <c r="K4" s="124">
        <v>1332</v>
      </c>
      <c r="L4" s="124">
        <v>1443</v>
      </c>
      <c r="M4" s="124">
        <v>1299</v>
      </c>
      <c r="N4" s="124">
        <v>1648</v>
      </c>
      <c r="O4" s="124">
        <f>1639-10</f>
        <v>1629</v>
      </c>
      <c r="P4" s="124">
        <v>1527</v>
      </c>
      <c r="Q4" s="124">
        <v>1156</v>
      </c>
      <c r="R4" s="124">
        <f>1585-4</f>
        <v>1581</v>
      </c>
      <c r="S4" s="124">
        <v>965</v>
      </c>
      <c r="T4" s="124">
        <v>1116</v>
      </c>
      <c r="U4" s="124">
        <v>753</v>
      </c>
      <c r="V4" s="124">
        <f>1547-10-13-5-8</f>
        <v>1511</v>
      </c>
      <c r="W4" s="124">
        <v>983.5</v>
      </c>
      <c r="X4" s="124">
        <v>697</v>
      </c>
      <c r="Y4" s="124">
        <f>1124-20</f>
        <v>1104</v>
      </c>
      <c r="Z4" s="124">
        <v>963</v>
      </c>
      <c r="AA4" s="124">
        <v>875</v>
      </c>
      <c r="AB4" s="124">
        <v>817</v>
      </c>
      <c r="AC4" s="124">
        <f>1524-21</f>
        <v>1503</v>
      </c>
      <c r="AD4" s="124">
        <v>1150</v>
      </c>
      <c r="AE4" s="124">
        <v>1010</v>
      </c>
      <c r="AF4" s="124">
        <v>866</v>
      </c>
      <c r="AG4" s="124">
        <v>603</v>
      </c>
      <c r="AH4" s="108">
        <f t="shared" si="1"/>
        <v>38187.5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>
        <v>10</v>
      </c>
      <c r="I5" s="125"/>
      <c r="J5" s="125"/>
      <c r="K5" s="125"/>
      <c r="L5" s="125">
        <v>70.010000000000005</v>
      </c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80.010000000000005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210</v>
      </c>
      <c r="C6" s="125">
        <v>176.67</v>
      </c>
      <c r="D6" s="125">
        <v>179.58</v>
      </c>
      <c r="E6" s="125">
        <v>268.37</v>
      </c>
      <c r="F6" s="125">
        <v>99.41</v>
      </c>
      <c r="G6" s="125">
        <v>188.91</v>
      </c>
      <c r="H6" s="125">
        <v>301.38</v>
      </c>
      <c r="I6" s="125">
        <v>248.83</v>
      </c>
      <c r="J6" s="125">
        <v>62.65</v>
      </c>
      <c r="K6" s="125">
        <v>200.25</v>
      </c>
      <c r="L6" s="125">
        <v>268.43</v>
      </c>
      <c r="M6" s="125">
        <v>215.79</v>
      </c>
      <c r="N6" s="125">
        <v>172.65</v>
      </c>
      <c r="O6" s="125">
        <v>233.18</v>
      </c>
      <c r="P6" s="125">
        <v>114.58</v>
      </c>
      <c r="Q6" s="125">
        <v>198.33</v>
      </c>
      <c r="R6" s="125">
        <v>183.41</v>
      </c>
      <c r="S6" s="125">
        <v>186.25</v>
      </c>
      <c r="T6" s="125">
        <v>120.27</v>
      </c>
      <c r="U6" s="125">
        <v>99.37</v>
      </c>
      <c r="V6" s="125">
        <v>104.45</v>
      </c>
      <c r="W6" s="125">
        <v>85.2</v>
      </c>
      <c r="X6" s="125">
        <v>65.319999999999993</v>
      </c>
      <c r="Y6" s="125">
        <v>61.92</v>
      </c>
      <c r="Z6" s="125">
        <v>101.77</v>
      </c>
      <c r="AA6" s="125">
        <v>136.38</v>
      </c>
      <c r="AB6" s="125">
        <v>88.48</v>
      </c>
      <c r="AC6" s="125">
        <v>362.86</v>
      </c>
      <c r="AD6" s="125">
        <v>178.23</v>
      </c>
      <c r="AE6" s="125">
        <v>70.650000000000006</v>
      </c>
      <c r="AF6" s="125">
        <v>150.51</v>
      </c>
      <c r="AG6" s="125">
        <v>171.67</v>
      </c>
      <c r="AH6" s="108">
        <f t="shared" si="1"/>
        <v>5095.7499999999982</v>
      </c>
      <c r="AJ6" s="162" t="s">
        <v>79</v>
      </c>
      <c r="AK6" s="163" t="s">
        <v>210</v>
      </c>
    </row>
    <row r="7" spans="1:37" ht="15.75" x14ac:dyDescent="0.25">
      <c r="A7" s="122" t="s">
        <v>79</v>
      </c>
      <c r="B7" s="123" t="s">
        <v>81</v>
      </c>
      <c r="C7" s="125">
        <v>1.76</v>
      </c>
      <c r="D7" s="125"/>
      <c r="E7" s="125"/>
      <c r="F7" s="125"/>
      <c r="G7" s="125">
        <v>1.76</v>
      </c>
      <c r="H7" s="125"/>
      <c r="I7" s="125"/>
      <c r="J7" s="125">
        <v>0.44</v>
      </c>
      <c r="K7" s="125"/>
      <c r="L7" s="125"/>
      <c r="M7" s="125"/>
      <c r="N7" s="125"/>
      <c r="O7" s="125">
        <v>0.88</v>
      </c>
      <c r="P7" s="125">
        <v>2.2000000000000002</v>
      </c>
      <c r="Q7" s="125"/>
      <c r="R7" s="125"/>
      <c r="S7" s="125"/>
      <c r="T7" s="125">
        <v>1.76</v>
      </c>
      <c r="U7" s="125">
        <v>0.44</v>
      </c>
      <c r="V7" s="125"/>
      <c r="W7" s="125"/>
      <c r="X7" s="125"/>
      <c r="Y7" s="125">
        <v>5.28</v>
      </c>
      <c r="Z7" s="125"/>
      <c r="AA7" s="125"/>
      <c r="AB7" s="125"/>
      <c r="AC7" s="125">
        <v>0.44</v>
      </c>
      <c r="AD7" s="125"/>
      <c r="AE7" s="125">
        <v>0.88</v>
      </c>
      <c r="AF7" s="125"/>
      <c r="AG7" s="125">
        <v>1.76</v>
      </c>
      <c r="AH7" s="108">
        <f t="shared" si="1"/>
        <v>17.600000000000001</v>
      </c>
      <c r="AJ7" s="162" t="s">
        <v>79</v>
      </c>
      <c r="AK7" s="163" t="s">
        <v>81</v>
      </c>
    </row>
    <row r="8" spans="1:37" ht="16.5" thickBot="1" x14ac:dyDescent="0.3">
      <c r="A8" s="433"/>
      <c r="B8" s="432" t="s">
        <v>195</v>
      </c>
      <c r="C8" s="431">
        <f t="shared" ref="C8:AG8" si="2">SUM(C3:C7)</f>
        <v>1574.1200000000001</v>
      </c>
      <c r="D8" s="431">
        <f t="shared" si="2"/>
        <v>1713.55</v>
      </c>
      <c r="E8" s="431">
        <f t="shared" si="2"/>
        <v>1783.75</v>
      </c>
      <c r="F8" s="431">
        <f t="shared" si="2"/>
        <v>1674.8200000000002</v>
      </c>
      <c r="G8" s="431">
        <f t="shared" si="2"/>
        <v>1563.51</v>
      </c>
      <c r="H8" s="431">
        <f t="shared" si="2"/>
        <v>2261.87</v>
      </c>
      <c r="I8" s="431">
        <f t="shared" si="2"/>
        <v>1490.34</v>
      </c>
      <c r="J8" s="431">
        <f t="shared" si="2"/>
        <v>1277.9900000000002</v>
      </c>
      <c r="K8" s="431">
        <f t="shared" si="2"/>
        <v>1551.17</v>
      </c>
      <c r="L8" s="431">
        <f t="shared" si="2"/>
        <v>1806.81</v>
      </c>
      <c r="M8" s="431">
        <f t="shared" si="2"/>
        <v>1535.24</v>
      </c>
      <c r="N8" s="431">
        <f t="shared" si="2"/>
        <v>1836.97</v>
      </c>
      <c r="O8" s="431">
        <f t="shared" si="2"/>
        <v>1885.63</v>
      </c>
      <c r="P8" s="431">
        <f t="shared" si="2"/>
        <v>1654.61</v>
      </c>
      <c r="Q8" s="431">
        <f t="shared" si="2"/>
        <v>1373.07</v>
      </c>
      <c r="R8" s="431">
        <f t="shared" si="2"/>
        <v>1781.76</v>
      </c>
      <c r="S8" s="431">
        <f t="shared" si="2"/>
        <v>1168.8400000000001</v>
      </c>
      <c r="T8" s="431">
        <f t="shared" si="2"/>
        <v>1249.45</v>
      </c>
      <c r="U8" s="431">
        <f t="shared" si="2"/>
        <v>862.2</v>
      </c>
      <c r="V8" s="431">
        <f t="shared" si="2"/>
        <v>1625.3</v>
      </c>
      <c r="W8" s="431">
        <f t="shared" si="2"/>
        <v>1076.75</v>
      </c>
      <c r="X8" s="431">
        <f t="shared" si="2"/>
        <v>768.49</v>
      </c>
      <c r="Y8" s="431">
        <f t="shared" si="2"/>
        <v>1177.06</v>
      </c>
      <c r="Z8" s="431">
        <f t="shared" si="2"/>
        <v>1074.3700000000001</v>
      </c>
      <c r="AA8" s="431">
        <f t="shared" si="2"/>
        <v>1024.28</v>
      </c>
      <c r="AB8" s="431">
        <f t="shared" si="2"/>
        <v>913.86</v>
      </c>
      <c r="AC8" s="431">
        <f t="shared" si="2"/>
        <v>1900.58</v>
      </c>
      <c r="AD8" s="431">
        <f t="shared" si="2"/>
        <v>1345.09</v>
      </c>
      <c r="AE8" s="431">
        <f t="shared" si="2"/>
        <v>1088.2200000000003</v>
      </c>
      <c r="AF8" s="431">
        <f t="shared" si="2"/>
        <v>1030.73</v>
      </c>
      <c r="AG8" s="431">
        <f t="shared" si="2"/>
        <v>792.62</v>
      </c>
      <c r="AH8" s="430">
        <f t="shared" si="1"/>
        <v>43863.05000000001</v>
      </c>
      <c r="AJ8" s="162"/>
      <c r="AK8" s="163"/>
    </row>
    <row r="9" spans="1:37" ht="15.75" x14ac:dyDescent="0.25">
      <c r="A9" s="429" t="s">
        <v>61</v>
      </c>
      <c r="B9" s="428" t="s">
        <v>83</v>
      </c>
      <c r="C9" s="427">
        <v>20.89</v>
      </c>
      <c r="D9" s="107">
        <v>12.29</v>
      </c>
      <c r="E9" s="426">
        <v>21.77</v>
      </c>
      <c r="F9" s="426">
        <v>6.74</v>
      </c>
      <c r="G9" s="426">
        <v>5.99</v>
      </c>
      <c r="H9" s="426">
        <v>10.52</v>
      </c>
      <c r="I9" s="426">
        <v>22.68</v>
      </c>
      <c r="J9" s="426">
        <v>11.4</v>
      </c>
      <c r="K9" s="426">
        <v>9.81</v>
      </c>
      <c r="L9" s="426">
        <v>9.86</v>
      </c>
      <c r="M9" s="426">
        <v>14.16</v>
      </c>
      <c r="N9" s="426">
        <v>1.02</v>
      </c>
      <c r="O9" s="426">
        <v>12.23</v>
      </c>
      <c r="P9" s="426">
        <v>18.78</v>
      </c>
      <c r="Q9" s="426">
        <v>5.44</v>
      </c>
      <c r="R9" s="426">
        <v>14.97</v>
      </c>
      <c r="S9" s="426">
        <v>9.31</v>
      </c>
      <c r="T9" s="426">
        <v>14.57</v>
      </c>
      <c r="U9" s="426">
        <v>6.18</v>
      </c>
      <c r="V9" s="426">
        <v>10.9</v>
      </c>
      <c r="W9" s="426">
        <v>2.93</v>
      </c>
      <c r="X9" s="426">
        <v>4.59</v>
      </c>
      <c r="Y9" s="426">
        <v>4.51</v>
      </c>
      <c r="Z9" s="426">
        <v>5.19</v>
      </c>
      <c r="AA9" s="426">
        <v>0.98</v>
      </c>
      <c r="AB9" s="426">
        <v>4.53</v>
      </c>
      <c r="AC9" s="426">
        <v>11.72</v>
      </c>
      <c r="AD9" s="426">
        <v>8.4499999999999993</v>
      </c>
      <c r="AE9" s="426">
        <v>9.33</v>
      </c>
      <c r="AF9" s="426">
        <v>5.29</v>
      </c>
      <c r="AG9" s="426">
        <v>11.65</v>
      </c>
      <c r="AH9" s="425">
        <f t="shared" si="1"/>
        <v>308.68</v>
      </c>
      <c r="AJ9" s="423"/>
      <c r="AK9" s="422"/>
    </row>
    <row r="10" spans="1:37" ht="15.75" x14ac:dyDescent="0.25">
      <c r="A10" s="122" t="s">
        <v>69</v>
      </c>
      <c r="B10" s="123" t="s">
        <v>70</v>
      </c>
      <c r="C10" s="424">
        <v>874</v>
      </c>
      <c r="D10" s="125">
        <v>1023</v>
      </c>
      <c r="E10" s="153">
        <v>1149</v>
      </c>
      <c r="F10" s="153">
        <v>1043</v>
      </c>
      <c r="G10" s="153">
        <v>978</v>
      </c>
      <c r="H10" s="153">
        <v>1251</v>
      </c>
      <c r="I10" s="153">
        <v>1215</v>
      </c>
      <c r="J10" s="153">
        <v>972</v>
      </c>
      <c r="K10" s="153">
        <v>659</v>
      </c>
      <c r="L10" s="153">
        <v>781</v>
      </c>
      <c r="M10" s="153">
        <v>637</v>
      </c>
      <c r="N10" s="153">
        <v>653</v>
      </c>
      <c r="O10" s="153">
        <v>862</v>
      </c>
      <c r="P10" s="153">
        <v>1082</v>
      </c>
      <c r="Q10" s="153">
        <v>466</v>
      </c>
      <c r="R10" s="153">
        <v>477</v>
      </c>
      <c r="S10" s="153">
        <v>495</v>
      </c>
      <c r="T10" s="153">
        <v>738</v>
      </c>
      <c r="U10" s="153">
        <v>663</v>
      </c>
      <c r="V10" s="153">
        <v>900.5</v>
      </c>
      <c r="W10" s="153">
        <v>738</v>
      </c>
      <c r="X10" s="153">
        <v>552</v>
      </c>
      <c r="Y10" s="153">
        <v>614</v>
      </c>
      <c r="Z10" s="153">
        <v>613</v>
      </c>
      <c r="AA10" s="153">
        <v>326</v>
      </c>
      <c r="AB10" s="153">
        <v>362</v>
      </c>
      <c r="AC10" s="153">
        <v>956</v>
      </c>
      <c r="AD10" s="153">
        <v>806</v>
      </c>
      <c r="AE10" s="153">
        <v>630</v>
      </c>
      <c r="AF10" s="153">
        <v>463</v>
      </c>
      <c r="AG10" s="153">
        <v>535</v>
      </c>
      <c r="AH10" s="419">
        <f t="shared" si="1"/>
        <v>23513.5</v>
      </c>
      <c r="AJ10" s="423"/>
      <c r="AK10" s="422"/>
    </row>
    <row r="11" spans="1:37" ht="15.75" x14ac:dyDescent="0.25">
      <c r="A11" s="122" t="s">
        <v>80</v>
      </c>
      <c r="B11" s="123" t="s">
        <v>82</v>
      </c>
      <c r="C11" s="424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19">
        <f t="shared" si="1"/>
        <v>0</v>
      </c>
      <c r="AJ11" s="423"/>
      <c r="AK11" s="422"/>
    </row>
    <row r="12" spans="1:37" ht="15.75" x14ac:dyDescent="0.25">
      <c r="A12" s="122" t="s">
        <v>79</v>
      </c>
      <c r="B12" s="123" t="s">
        <v>210</v>
      </c>
      <c r="C12" s="424">
        <v>221.22</v>
      </c>
      <c r="D12" s="125">
        <v>129.80000000000001</v>
      </c>
      <c r="E12" s="153">
        <v>229.78</v>
      </c>
      <c r="F12" s="153">
        <v>70.67</v>
      </c>
      <c r="G12" s="153">
        <v>63.31</v>
      </c>
      <c r="H12" s="153">
        <v>109.84</v>
      </c>
      <c r="I12" s="153">
        <v>239.57</v>
      </c>
      <c r="J12" s="153">
        <v>119.26</v>
      </c>
      <c r="K12" s="153">
        <v>103.63</v>
      </c>
      <c r="L12" s="153">
        <v>104.35</v>
      </c>
      <c r="M12" s="153">
        <v>149.87</v>
      </c>
      <c r="N12" s="153">
        <v>10.74</v>
      </c>
      <c r="O12" s="153">
        <v>128.19</v>
      </c>
      <c r="P12" s="153">
        <v>198.47</v>
      </c>
      <c r="Q12" s="153">
        <v>56.16</v>
      </c>
      <c r="R12" s="153">
        <v>149.56</v>
      </c>
      <c r="S12" s="153">
        <v>98.41</v>
      </c>
      <c r="T12" s="153">
        <v>152.99</v>
      </c>
      <c r="U12" s="153">
        <v>65.28</v>
      </c>
      <c r="V12" s="153">
        <v>115.15</v>
      </c>
      <c r="W12" s="153">
        <v>30.82</v>
      </c>
      <c r="X12" s="153">
        <v>48.42</v>
      </c>
      <c r="Y12" s="153">
        <v>47.72</v>
      </c>
      <c r="Z12" s="153">
        <v>55</v>
      </c>
      <c r="AA12" s="153">
        <v>10.44</v>
      </c>
      <c r="AB12" s="153">
        <v>47.89</v>
      </c>
      <c r="AC12" s="153">
        <v>123.91</v>
      </c>
      <c r="AD12" s="153">
        <v>89.53</v>
      </c>
      <c r="AE12" s="153">
        <v>97.21</v>
      </c>
      <c r="AF12" s="153">
        <v>55.84</v>
      </c>
      <c r="AG12" s="153">
        <v>122.16</v>
      </c>
      <c r="AH12" s="419">
        <f t="shared" si="1"/>
        <v>3245.19</v>
      </c>
      <c r="AJ12" s="423"/>
      <c r="AK12" s="422"/>
    </row>
    <row r="13" spans="1:37" ht="15.75" x14ac:dyDescent="0.25">
      <c r="A13" s="122" t="s">
        <v>79</v>
      </c>
      <c r="B13" s="123" t="s">
        <v>81</v>
      </c>
      <c r="C13" s="424"/>
      <c r="D13" s="125"/>
      <c r="E13" s="153">
        <v>1.76</v>
      </c>
      <c r="F13" s="153">
        <v>0.88</v>
      </c>
      <c r="G13" s="153"/>
      <c r="H13" s="153"/>
      <c r="I13" s="153"/>
      <c r="J13" s="153"/>
      <c r="K13" s="153"/>
      <c r="L13" s="153"/>
      <c r="M13" s="153">
        <v>2.2000000000000002</v>
      </c>
      <c r="N13" s="153"/>
      <c r="O13" s="153"/>
      <c r="P13" s="153"/>
      <c r="Q13" s="153"/>
      <c r="R13" s="153"/>
      <c r="S13" s="153">
        <v>2.64</v>
      </c>
      <c r="T13" s="153"/>
      <c r="U13" s="153">
        <v>0.44</v>
      </c>
      <c r="V13" s="153"/>
      <c r="W13" s="153"/>
      <c r="X13" s="153">
        <v>14.08</v>
      </c>
      <c r="Y13" s="153"/>
      <c r="Z13" s="153"/>
      <c r="AA13" s="153"/>
      <c r="AB13" s="153"/>
      <c r="AC13" s="153"/>
      <c r="AD13" s="153">
        <v>3.08</v>
      </c>
      <c r="AE13" s="153"/>
      <c r="AF13" s="153">
        <v>1.76</v>
      </c>
      <c r="AG13" s="153"/>
      <c r="AH13" s="419">
        <f t="shared" si="1"/>
        <v>26.84</v>
      </c>
      <c r="AJ13" s="423"/>
      <c r="AK13" s="422"/>
    </row>
    <row r="14" spans="1:37" ht="16.5" thickBot="1" x14ac:dyDescent="0.3">
      <c r="A14" s="132"/>
      <c r="B14" s="421" t="s">
        <v>194</v>
      </c>
      <c r="C14" s="420">
        <f t="shared" ref="C14:AG14" si="3">SUM(C9:C13)</f>
        <v>1116.1099999999999</v>
      </c>
      <c r="D14" s="420">
        <f t="shared" si="3"/>
        <v>1165.0899999999999</v>
      </c>
      <c r="E14" s="420">
        <f t="shared" si="3"/>
        <v>1402.31</v>
      </c>
      <c r="F14" s="420">
        <f t="shared" si="3"/>
        <v>1121.2900000000002</v>
      </c>
      <c r="G14" s="420">
        <f t="shared" si="3"/>
        <v>1047.3</v>
      </c>
      <c r="H14" s="420">
        <f t="shared" si="3"/>
        <v>1371.36</v>
      </c>
      <c r="I14" s="420">
        <f t="shared" si="3"/>
        <v>1477.25</v>
      </c>
      <c r="J14" s="420">
        <f t="shared" si="3"/>
        <v>1102.6600000000001</v>
      </c>
      <c r="K14" s="420">
        <f t="shared" si="3"/>
        <v>772.43999999999994</v>
      </c>
      <c r="L14" s="420">
        <f t="shared" si="3"/>
        <v>895.21</v>
      </c>
      <c r="M14" s="420">
        <f t="shared" si="3"/>
        <v>803.23</v>
      </c>
      <c r="N14" s="420">
        <f t="shared" si="3"/>
        <v>664.76</v>
      </c>
      <c r="O14" s="420">
        <f t="shared" si="3"/>
        <v>1002.4200000000001</v>
      </c>
      <c r="P14" s="420">
        <f t="shared" si="3"/>
        <v>1299.25</v>
      </c>
      <c r="Q14" s="420">
        <f t="shared" si="3"/>
        <v>527.6</v>
      </c>
      <c r="R14" s="420">
        <f t="shared" si="3"/>
        <v>641.53</v>
      </c>
      <c r="S14" s="420">
        <f t="shared" si="3"/>
        <v>605.36</v>
      </c>
      <c r="T14" s="420">
        <f t="shared" si="3"/>
        <v>905.56000000000006</v>
      </c>
      <c r="U14" s="420">
        <f t="shared" si="3"/>
        <v>734.9</v>
      </c>
      <c r="V14" s="420">
        <f t="shared" si="3"/>
        <v>1026.55</v>
      </c>
      <c r="W14" s="420">
        <f t="shared" si="3"/>
        <v>771.75</v>
      </c>
      <c r="X14" s="420">
        <f t="shared" si="3"/>
        <v>619.09</v>
      </c>
      <c r="Y14" s="420">
        <f t="shared" si="3"/>
        <v>666.23</v>
      </c>
      <c r="Z14" s="420">
        <f t="shared" si="3"/>
        <v>673.19</v>
      </c>
      <c r="AA14" s="420">
        <f t="shared" si="3"/>
        <v>337.42</v>
      </c>
      <c r="AB14" s="420">
        <f t="shared" si="3"/>
        <v>414.41999999999996</v>
      </c>
      <c r="AC14" s="420">
        <f t="shared" si="3"/>
        <v>1091.6300000000001</v>
      </c>
      <c r="AD14" s="420">
        <f t="shared" si="3"/>
        <v>907.06000000000006</v>
      </c>
      <c r="AE14" s="420">
        <f t="shared" si="3"/>
        <v>736.54000000000008</v>
      </c>
      <c r="AF14" s="420">
        <f t="shared" si="3"/>
        <v>525.89</v>
      </c>
      <c r="AG14" s="420">
        <f t="shared" si="3"/>
        <v>668.81</v>
      </c>
      <c r="AH14" s="419">
        <f t="shared" si="1"/>
        <v>27094.210000000003</v>
      </c>
      <c r="AJ14" s="77"/>
      <c r="AK14" s="78"/>
    </row>
    <row r="15" spans="1:37" x14ac:dyDescent="0.25">
      <c r="A15" s="134"/>
      <c r="B15" s="413" t="s">
        <v>64</v>
      </c>
      <c r="C15" s="412">
        <f t="shared" ref="C15:AG15" si="4">SUM(C3:C7,C9:C13)</f>
        <v>2690.23</v>
      </c>
      <c r="D15" s="412">
        <f t="shared" si="4"/>
        <v>2878.6400000000003</v>
      </c>
      <c r="E15" s="412">
        <f t="shared" si="4"/>
        <v>3186.0600000000004</v>
      </c>
      <c r="F15" s="412">
        <f t="shared" si="4"/>
        <v>2796.1100000000006</v>
      </c>
      <c r="G15" s="412">
        <f t="shared" si="4"/>
        <v>2610.81</v>
      </c>
      <c r="H15" s="412">
        <f t="shared" si="4"/>
        <v>3633.23</v>
      </c>
      <c r="I15" s="412">
        <f t="shared" si="4"/>
        <v>2967.59</v>
      </c>
      <c r="J15" s="412">
        <f t="shared" si="4"/>
        <v>2380.6500000000005</v>
      </c>
      <c r="K15" s="412">
        <f t="shared" si="4"/>
        <v>2323.61</v>
      </c>
      <c r="L15" s="412">
        <f t="shared" si="4"/>
        <v>2702.02</v>
      </c>
      <c r="M15" s="412">
        <f t="shared" si="4"/>
        <v>2338.4699999999998</v>
      </c>
      <c r="N15" s="412">
        <f t="shared" si="4"/>
        <v>2501.7299999999996</v>
      </c>
      <c r="O15" s="412">
        <f t="shared" si="4"/>
        <v>2888.05</v>
      </c>
      <c r="P15" s="412">
        <f t="shared" si="4"/>
        <v>2953.8599999999997</v>
      </c>
      <c r="Q15" s="412">
        <f t="shared" si="4"/>
        <v>1900.67</v>
      </c>
      <c r="R15" s="412">
        <f t="shared" si="4"/>
        <v>2423.29</v>
      </c>
      <c r="S15" s="412">
        <f t="shared" si="4"/>
        <v>1774.2000000000003</v>
      </c>
      <c r="T15" s="412">
        <f t="shared" si="4"/>
        <v>2155.0100000000002</v>
      </c>
      <c r="U15" s="412">
        <f t="shared" si="4"/>
        <v>1597.1000000000001</v>
      </c>
      <c r="V15" s="412">
        <f t="shared" si="4"/>
        <v>2651.85</v>
      </c>
      <c r="W15" s="412">
        <f t="shared" si="4"/>
        <v>1848.5</v>
      </c>
      <c r="X15" s="412">
        <f t="shared" si="4"/>
        <v>1387.58</v>
      </c>
      <c r="Y15" s="412">
        <f t="shared" si="4"/>
        <v>1843.29</v>
      </c>
      <c r="Z15" s="412">
        <f t="shared" si="4"/>
        <v>1747.5600000000002</v>
      </c>
      <c r="AA15" s="412">
        <f t="shared" si="4"/>
        <v>1361.7</v>
      </c>
      <c r="AB15" s="412">
        <f t="shared" si="4"/>
        <v>1328.28</v>
      </c>
      <c r="AC15" s="412">
        <f t="shared" si="4"/>
        <v>2992.21</v>
      </c>
      <c r="AD15" s="412">
        <f t="shared" si="4"/>
        <v>2252.15</v>
      </c>
      <c r="AE15" s="412">
        <f t="shared" si="4"/>
        <v>1824.7600000000002</v>
      </c>
      <c r="AF15" s="412">
        <f t="shared" si="4"/>
        <v>1556.62</v>
      </c>
      <c r="AG15" s="412">
        <f t="shared" si="4"/>
        <v>1461.43</v>
      </c>
      <c r="AH15" s="109">
        <f t="shared" si="1"/>
        <v>70957.25999999998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18"/>
      <c r="AJ17" s="508" t="s">
        <v>130</v>
      </c>
      <c r="AK17" s="509"/>
      <c r="AL17" s="509"/>
      <c r="AM17" s="510"/>
    </row>
    <row r="18" spans="1:40" ht="16.5" thickBot="1" x14ac:dyDescent="0.3">
      <c r="A18" s="366" t="str">
        <f>'[1]TEMP Summary'!A12</f>
        <v>01-00-1000</v>
      </c>
      <c r="B18" s="451" t="s">
        <v>193</v>
      </c>
      <c r="C18" s="434">
        <v>713.86</v>
      </c>
      <c r="D18" s="435">
        <v>689.39</v>
      </c>
      <c r="E18" s="435">
        <v>703.99</v>
      </c>
      <c r="F18" s="435">
        <v>748.2</v>
      </c>
      <c r="G18" s="435">
        <v>577.95000000000005</v>
      </c>
      <c r="H18" s="435">
        <v>805.07</v>
      </c>
      <c r="I18" s="435">
        <v>601.83000000000004</v>
      </c>
      <c r="J18" s="435">
        <v>541.51</v>
      </c>
      <c r="K18" s="435">
        <v>836.72</v>
      </c>
      <c r="L18" s="435">
        <v>898.01</v>
      </c>
      <c r="M18" s="435">
        <v>491.5</v>
      </c>
      <c r="N18" s="435">
        <v>809.91</v>
      </c>
      <c r="O18" s="435">
        <v>741.79</v>
      </c>
      <c r="P18" s="435">
        <v>705.17</v>
      </c>
      <c r="Q18" s="435">
        <v>656.73</v>
      </c>
      <c r="R18" s="435">
        <v>1154.43</v>
      </c>
      <c r="S18" s="435">
        <v>541.54</v>
      </c>
      <c r="T18" s="107">
        <v>697.49</v>
      </c>
      <c r="U18" s="107">
        <v>457.26</v>
      </c>
      <c r="V18" s="107">
        <v>909.93</v>
      </c>
      <c r="W18" s="107">
        <v>289.11</v>
      </c>
      <c r="X18" s="107">
        <v>390.92</v>
      </c>
      <c r="Y18" s="107">
        <v>632.87</v>
      </c>
      <c r="Z18" s="107">
        <v>547.21</v>
      </c>
      <c r="AA18" s="107">
        <v>492.64</v>
      </c>
      <c r="AB18" s="107">
        <v>407.62</v>
      </c>
      <c r="AC18" s="107">
        <v>987.09</v>
      </c>
      <c r="AD18" s="107">
        <v>625.66999999999996</v>
      </c>
      <c r="AE18" s="107">
        <v>497.59</v>
      </c>
      <c r="AF18" s="107">
        <v>550.6</v>
      </c>
      <c r="AG18" s="478">
        <v>336.57</v>
      </c>
      <c r="AH18" s="417">
        <f t="shared" ref="AH18:AH22" si="5">SUM(C18:AG18)</f>
        <v>20040.169999999995</v>
      </c>
      <c r="AJ18" s="282" t="s">
        <v>66</v>
      </c>
      <c r="AK18" s="283" t="s">
        <v>131</v>
      </c>
      <c r="AL18" s="283" t="s">
        <v>123</v>
      </c>
      <c r="AM18" s="284" t="s">
        <v>124</v>
      </c>
    </row>
    <row r="19" spans="1:40" ht="16.5" thickBot="1" x14ac:dyDescent="0.3">
      <c r="A19" s="367" t="str">
        <f>'[1]TEMP Summary'!A13</f>
        <v>01-00-1000</v>
      </c>
      <c r="B19" s="452" t="s">
        <v>192</v>
      </c>
      <c r="C19" s="436">
        <v>502.96</v>
      </c>
      <c r="D19" s="437">
        <v>548.02</v>
      </c>
      <c r="E19" s="437">
        <v>791.63</v>
      </c>
      <c r="F19" s="437">
        <v>545.69000000000005</v>
      </c>
      <c r="G19" s="437">
        <v>539.58000000000004</v>
      </c>
      <c r="H19" s="437">
        <v>497.87</v>
      </c>
      <c r="I19" s="437">
        <v>660.81</v>
      </c>
      <c r="J19" s="437">
        <v>572.6</v>
      </c>
      <c r="K19" s="437">
        <v>340.52</v>
      </c>
      <c r="L19" s="437">
        <v>391.61</v>
      </c>
      <c r="M19" s="437">
        <v>483.54</v>
      </c>
      <c r="N19" s="437">
        <v>326.07</v>
      </c>
      <c r="O19" s="437">
        <v>552.05999999999995</v>
      </c>
      <c r="P19" s="437">
        <v>584.6</v>
      </c>
      <c r="Q19" s="437">
        <v>275.07</v>
      </c>
      <c r="R19" s="437">
        <v>387.12</v>
      </c>
      <c r="S19" s="437">
        <v>249.44</v>
      </c>
      <c r="T19" s="125">
        <v>431.2</v>
      </c>
      <c r="U19" s="125">
        <v>395.32</v>
      </c>
      <c r="V19" s="125">
        <v>435.46</v>
      </c>
      <c r="W19" s="125">
        <v>520.62</v>
      </c>
      <c r="X19" s="125">
        <v>256.55</v>
      </c>
      <c r="Y19" s="125">
        <v>362.03</v>
      </c>
      <c r="Z19" s="125">
        <v>364.68</v>
      </c>
      <c r="AA19" s="125">
        <v>63.42</v>
      </c>
      <c r="AB19" s="125">
        <v>256.77</v>
      </c>
      <c r="AC19" s="125">
        <v>373.2</v>
      </c>
      <c r="AD19" s="125">
        <v>428.35</v>
      </c>
      <c r="AE19" s="125">
        <v>359.99</v>
      </c>
      <c r="AF19" s="125">
        <v>310.19</v>
      </c>
      <c r="AG19" s="477">
        <v>261.72000000000003</v>
      </c>
      <c r="AH19" s="416">
        <f t="shared" si="5"/>
        <v>13068.69</v>
      </c>
      <c r="AJ19" s="357"/>
      <c r="AK19" s="358"/>
      <c r="AL19" s="358"/>
      <c r="AM19" s="359"/>
    </row>
    <row r="20" spans="1:40" ht="15.75" x14ac:dyDescent="0.25">
      <c r="A20" s="367" t="str">
        <f>'[1]TEMP Summary'!A14</f>
        <v>01-00-1000</v>
      </c>
      <c r="B20" s="452" t="s">
        <v>191</v>
      </c>
      <c r="C20" s="473">
        <v>860.26</v>
      </c>
      <c r="D20" s="472">
        <v>1024.1600000000001</v>
      </c>
      <c r="E20" s="472">
        <v>1079.81</v>
      </c>
      <c r="F20" s="472">
        <v>926.62</v>
      </c>
      <c r="G20" s="472">
        <v>985.56</v>
      </c>
      <c r="H20" s="472">
        <v>1456.8</v>
      </c>
      <c r="I20" s="472">
        <v>888.51</v>
      </c>
      <c r="J20" s="472">
        <v>736.48</v>
      </c>
      <c r="K20" s="472">
        <v>714.45</v>
      </c>
      <c r="L20" s="472">
        <v>908.8</v>
      </c>
      <c r="M20" s="472">
        <v>1043.74</v>
      </c>
      <c r="N20" s="472">
        <v>1027.1600000000001</v>
      </c>
      <c r="O20" s="472">
        <v>1143.8399999999999</v>
      </c>
      <c r="P20" s="472">
        <v>949.44</v>
      </c>
      <c r="Q20" s="472">
        <v>716.34</v>
      </c>
      <c r="R20" s="472">
        <v>627.33000000000004</v>
      </c>
      <c r="S20" s="472">
        <v>627.29999999999995</v>
      </c>
      <c r="T20" s="472">
        <v>551.96</v>
      </c>
      <c r="U20" s="472">
        <v>414.94</v>
      </c>
      <c r="V20" s="472">
        <v>715.37</v>
      </c>
      <c r="W20" s="472">
        <v>787.64</v>
      </c>
      <c r="X20" s="472">
        <v>377.57</v>
      </c>
      <c r="Y20" s="472">
        <v>544.19000000000005</v>
      </c>
      <c r="Z20" s="472">
        <v>104</v>
      </c>
      <c r="AA20" s="472">
        <v>531.64</v>
      </c>
      <c r="AB20" s="472">
        <v>506.24</v>
      </c>
      <c r="AC20" s="479">
        <v>913.49</v>
      </c>
      <c r="AD20" s="479">
        <v>719.42</v>
      </c>
      <c r="AE20" s="479">
        <v>590.63</v>
      </c>
      <c r="AF20" s="479">
        <v>480.13</v>
      </c>
      <c r="AG20" s="484">
        <v>456.05</v>
      </c>
      <c r="AH20" s="416">
        <f t="shared" si="5"/>
        <v>23409.87</v>
      </c>
      <c r="AJ20" s="126" t="s">
        <v>60</v>
      </c>
      <c r="AK20" s="127" t="s">
        <v>54</v>
      </c>
      <c r="AL20" s="449">
        <f>SUM(C18:AF19)</f>
        <v>32510.569999999989</v>
      </c>
      <c r="AM20" s="450">
        <f>SUM(AG18:AG19)</f>
        <v>598.29</v>
      </c>
    </row>
    <row r="21" spans="1:40" ht="15.75" x14ac:dyDescent="0.25">
      <c r="A21" s="367" t="str">
        <f>'[1]TEMP Summary'!A15</f>
        <v>01-00-1000</v>
      </c>
      <c r="B21" s="452" t="s">
        <v>190</v>
      </c>
      <c r="C21" s="473">
        <v>613.15</v>
      </c>
      <c r="D21" s="472">
        <v>617.07000000000005</v>
      </c>
      <c r="E21" s="472">
        <v>600.67999999999995</v>
      </c>
      <c r="F21" s="472">
        <v>575.6</v>
      </c>
      <c r="G21" s="472">
        <v>507.72</v>
      </c>
      <c r="H21" s="472">
        <v>873.49</v>
      </c>
      <c r="I21" s="472">
        <v>816.44</v>
      </c>
      <c r="J21" s="472">
        <v>530.05999999999995</v>
      </c>
      <c r="K21" s="472">
        <v>431.92</v>
      </c>
      <c r="L21" s="472">
        <v>503.6</v>
      </c>
      <c r="M21" s="472">
        <v>319.69</v>
      </c>
      <c r="N21" s="472">
        <v>338.69</v>
      </c>
      <c r="O21" s="472">
        <v>450.36</v>
      </c>
      <c r="P21" s="472">
        <v>714.65</v>
      </c>
      <c r="Q21" s="472">
        <v>252.53</v>
      </c>
      <c r="R21" s="472">
        <v>254.41</v>
      </c>
      <c r="S21" s="472">
        <v>355.92</v>
      </c>
      <c r="T21" s="472">
        <v>474.36</v>
      </c>
      <c r="U21" s="472">
        <v>339.58</v>
      </c>
      <c r="V21" s="472">
        <v>591.09</v>
      </c>
      <c r="W21" s="472">
        <v>251.13</v>
      </c>
      <c r="X21" s="472">
        <v>362.54</v>
      </c>
      <c r="Y21" s="472">
        <v>304.2</v>
      </c>
      <c r="Z21" s="472">
        <v>308.51</v>
      </c>
      <c r="AA21" s="472">
        <v>274</v>
      </c>
      <c r="AB21" s="472">
        <v>157.65</v>
      </c>
      <c r="AC21" s="479">
        <v>718.43</v>
      </c>
      <c r="AD21" s="479">
        <v>478.71</v>
      </c>
      <c r="AE21" s="479">
        <v>376.55</v>
      </c>
      <c r="AF21" s="479">
        <v>215.7</v>
      </c>
      <c r="AG21" s="484">
        <v>407.09</v>
      </c>
      <c r="AH21" s="416">
        <f t="shared" si="5"/>
        <v>14015.519999999999</v>
      </c>
      <c r="AJ21" s="129" t="s">
        <v>60</v>
      </c>
      <c r="AK21" s="130" t="s">
        <v>211</v>
      </c>
      <c r="AL21" s="486">
        <f>SUM(C20:AB21)-AL29</f>
        <v>31107.19</v>
      </c>
      <c r="AM21" s="291">
        <f>SUM(AC20:AG21)-AM29</f>
        <v>5195.59</v>
      </c>
    </row>
    <row r="22" spans="1:40" ht="15.75" x14ac:dyDescent="0.25">
      <c r="A22" s="367" t="s">
        <v>60</v>
      </c>
      <c r="B22" s="458" t="s">
        <v>215</v>
      </c>
      <c r="C22" s="459"/>
      <c r="D22" s="460"/>
      <c r="E22" s="460"/>
      <c r="F22" s="460"/>
      <c r="G22" s="460"/>
      <c r="H22" s="460"/>
      <c r="I22" s="460"/>
      <c r="J22" s="460"/>
      <c r="K22" s="460"/>
      <c r="L22" s="460"/>
      <c r="M22" s="460"/>
      <c r="N22" s="460"/>
      <c r="O22" s="460"/>
      <c r="P22" s="460"/>
      <c r="Q22" s="460"/>
      <c r="R22" s="460"/>
      <c r="S22" s="460"/>
      <c r="T22" s="153"/>
      <c r="U22" s="153"/>
      <c r="V22" s="153"/>
      <c r="W22" s="153"/>
      <c r="X22" s="153"/>
      <c r="Y22" s="153"/>
      <c r="Z22" s="476">
        <v>430.96</v>
      </c>
      <c r="AA22" s="153"/>
      <c r="AB22" s="153"/>
      <c r="AC22" s="153"/>
      <c r="AD22" s="153"/>
      <c r="AE22" s="153"/>
      <c r="AF22" s="153"/>
      <c r="AG22" s="461"/>
      <c r="AH22" s="416">
        <f t="shared" si="5"/>
        <v>430.96</v>
      </c>
      <c r="AJ22" s="360" t="s">
        <v>60</v>
      </c>
      <c r="AK22" s="361" t="s">
        <v>217</v>
      </c>
      <c r="AL22" s="486">
        <f>SUM(C22:AE23)</f>
        <v>430.96</v>
      </c>
      <c r="AM22" s="485">
        <f>SUM(AF22:AG23)</f>
        <v>0</v>
      </c>
    </row>
    <row r="23" spans="1:40" ht="16.5" thickBot="1" x14ac:dyDescent="0.3">
      <c r="A23" s="368" t="s">
        <v>60</v>
      </c>
      <c r="B23" s="453" t="s">
        <v>216</v>
      </c>
      <c r="C23" s="364"/>
      <c r="D23" s="365"/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  <c r="V23" s="365"/>
      <c r="W23" s="365"/>
      <c r="X23" s="365"/>
      <c r="Y23" s="365"/>
      <c r="Z23" s="365"/>
      <c r="AA23" s="365"/>
      <c r="AB23" s="365"/>
      <c r="AC23" s="365"/>
      <c r="AD23" s="365"/>
      <c r="AE23" s="365"/>
      <c r="AF23" s="365"/>
      <c r="AG23" s="456"/>
      <c r="AH23" s="415">
        <f>SUM(C23:AG23)</f>
        <v>0</v>
      </c>
      <c r="AJ23" s="360"/>
      <c r="AK23" s="361"/>
      <c r="AL23" s="362"/>
      <c r="AM23" s="363"/>
    </row>
    <row r="24" spans="1:40" ht="16.5" thickBot="1" x14ac:dyDescent="0.3">
      <c r="A24" s="454"/>
      <c r="B24" s="455" t="s">
        <v>65</v>
      </c>
      <c r="C24" s="489">
        <f>SUM(C18:C23)</f>
        <v>2690.23</v>
      </c>
      <c r="D24" s="490">
        <f t="shared" ref="D24:AG24" si="6">SUM(D18:D23)</f>
        <v>2878.64</v>
      </c>
      <c r="E24" s="490">
        <f t="shared" si="6"/>
        <v>3176.1099999999997</v>
      </c>
      <c r="F24" s="490">
        <f t="shared" si="6"/>
        <v>2796.11</v>
      </c>
      <c r="G24" s="490">
        <f t="shared" si="6"/>
        <v>2610.8100000000004</v>
      </c>
      <c r="H24" s="490">
        <f t="shared" si="6"/>
        <v>3633.2299999999996</v>
      </c>
      <c r="I24" s="490">
        <f t="shared" si="6"/>
        <v>2967.5899999999997</v>
      </c>
      <c r="J24" s="490">
        <f t="shared" si="6"/>
        <v>2380.65</v>
      </c>
      <c r="K24" s="490">
        <f t="shared" si="6"/>
        <v>2323.61</v>
      </c>
      <c r="L24" s="490">
        <f t="shared" si="6"/>
        <v>2702.02</v>
      </c>
      <c r="M24" s="490">
        <f t="shared" si="6"/>
        <v>2338.4699999999998</v>
      </c>
      <c r="N24" s="490">
        <f t="shared" si="6"/>
        <v>2501.8300000000004</v>
      </c>
      <c r="O24" s="490">
        <f t="shared" si="6"/>
        <v>2888.0499999999997</v>
      </c>
      <c r="P24" s="490">
        <f t="shared" si="6"/>
        <v>2953.86</v>
      </c>
      <c r="Q24" s="490">
        <f t="shared" si="6"/>
        <v>1900.6699999999998</v>
      </c>
      <c r="R24" s="490">
        <f t="shared" si="6"/>
        <v>2423.29</v>
      </c>
      <c r="S24" s="490">
        <f t="shared" si="6"/>
        <v>1774.2</v>
      </c>
      <c r="T24" s="490">
        <f t="shared" si="6"/>
        <v>2155.0100000000002</v>
      </c>
      <c r="U24" s="490">
        <f t="shared" si="6"/>
        <v>1607.1</v>
      </c>
      <c r="V24" s="490">
        <f t="shared" si="6"/>
        <v>2651.85</v>
      </c>
      <c r="W24" s="490">
        <f t="shared" si="6"/>
        <v>1848.5</v>
      </c>
      <c r="X24" s="490">
        <f t="shared" si="6"/>
        <v>1387.58</v>
      </c>
      <c r="Y24" s="490">
        <f t="shared" si="6"/>
        <v>1843.2900000000002</v>
      </c>
      <c r="Z24" s="490">
        <f t="shared" si="6"/>
        <v>1755.3600000000001</v>
      </c>
      <c r="AA24" s="490">
        <f t="shared" si="6"/>
        <v>1361.6999999999998</v>
      </c>
      <c r="AB24" s="490">
        <f t="shared" si="6"/>
        <v>1328.2800000000002</v>
      </c>
      <c r="AC24" s="490">
        <f t="shared" si="6"/>
        <v>2992.2099999999996</v>
      </c>
      <c r="AD24" s="490">
        <f t="shared" si="6"/>
        <v>2252.15</v>
      </c>
      <c r="AE24" s="490">
        <f t="shared" si="6"/>
        <v>1824.76</v>
      </c>
      <c r="AF24" s="490">
        <f t="shared" si="6"/>
        <v>1556.6200000000001</v>
      </c>
      <c r="AG24" s="491">
        <f t="shared" si="6"/>
        <v>1461.4299999999998</v>
      </c>
      <c r="AH24" s="457">
        <f>SUM(C24:AG24)</f>
        <v>70965.209999999977</v>
      </c>
      <c r="AJ24" s="135" t="s">
        <v>84</v>
      </c>
      <c r="AK24" s="136" t="s">
        <v>33</v>
      </c>
      <c r="AL24" s="486">
        <f>SUM(AH26:AH27)</f>
        <v>-7.9500000000000455</v>
      </c>
      <c r="AM24" s="292"/>
      <c r="AN24" s="116" t="s">
        <v>132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499" t="s">
        <v>76</v>
      </c>
      <c r="AK25" s="511"/>
      <c r="AL25" s="512">
        <f>SUM(AL20:AM24)</f>
        <v>69834.649999999994</v>
      </c>
      <c r="AM25" s="513"/>
      <c r="AN25" s="293">
        <f>AL25-(AH24+AH26+AH27-AH29)</f>
        <v>0</v>
      </c>
    </row>
    <row r="26" spans="1:40" ht="15.75" x14ac:dyDescent="0.25">
      <c r="A26" s="414"/>
      <c r="B26" s="413" t="s">
        <v>189</v>
      </c>
      <c r="C26" s="412">
        <f t="shared" ref="C26:AG26" si="7">SUM(C3:C7)-(C18+C20)</f>
        <v>0</v>
      </c>
      <c r="D26" s="412">
        <f t="shared" si="7"/>
        <v>0</v>
      </c>
      <c r="E26" s="412">
        <f t="shared" si="7"/>
        <v>-4.9999999999954525E-2</v>
      </c>
      <c r="F26" s="412">
        <f t="shared" si="7"/>
        <v>0</v>
      </c>
      <c r="G26" s="412">
        <f t="shared" si="7"/>
        <v>0</v>
      </c>
      <c r="H26" s="412">
        <f t="shared" si="7"/>
        <v>0</v>
      </c>
      <c r="I26" s="412">
        <f t="shared" si="7"/>
        <v>0</v>
      </c>
      <c r="J26" s="412">
        <f t="shared" si="7"/>
        <v>0</v>
      </c>
      <c r="K26" s="412">
        <f t="shared" si="7"/>
        <v>0</v>
      </c>
      <c r="L26" s="412">
        <f t="shared" si="7"/>
        <v>0</v>
      </c>
      <c r="M26" s="412">
        <f t="shared" si="7"/>
        <v>0</v>
      </c>
      <c r="N26" s="412">
        <f t="shared" si="7"/>
        <v>-0.10000000000013642</v>
      </c>
      <c r="O26" s="412">
        <f t="shared" si="7"/>
        <v>0</v>
      </c>
      <c r="P26" s="412">
        <f t="shared" si="7"/>
        <v>0</v>
      </c>
      <c r="Q26" s="412">
        <f t="shared" si="7"/>
        <v>0</v>
      </c>
      <c r="R26" s="412">
        <f t="shared" si="7"/>
        <v>0</v>
      </c>
      <c r="S26" s="412">
        <f t="shared" si="7"/>
        <v>0</v>
      </c>
      <c r="T26" s="412">
        <f t="shared" si="7"/>
        <v>0</v>
      </c>
      <c r="U26" s="412">
        <f t="shared" si="7"/>
        <v>-10</v>
      </c>
      <c r="V26" s="412">
        <f t="shared" si="7"/>
        <v>0</v>
      </c>
      <c r="W26" s="412">
        <f t="shared" si="7"/>
        <v>0</v>
      </c>
      <c r="X26" s="412">
        <f t="shared" si="7"/>
        <v>0</v>
      </c>
      <c r="Y26" s="412">
        <f t="shared" si="7"/>
        <v>0</v>
      </c>
      <c r="Z26" s="412">
        <f>SUM(Z3:Z7)-(Z18+Z20+Z22)</f>
        <v>-7.7999999999999545</v>
      </c>
      <c r="AA26" s="412">
        <f t="shared" si="7"/>
        <v>0</v>
      </c>
      <c r="AB26" s="412">
        <f t="shared" si="7"/>
        <v>0</v>
      </c>
      <c r="AC26" s="412">
        <f t="shared" si="7"/>
        <v>0</v>
      </c>
      <c r="AD26" s="412">
        <f t="shared" si="7"/>
        <v>0</v>
      </c>
      <c r="AE26" s="412">
        <f t="shared" si="7"/>
        <v>0</v>
      </c>
      <c r="AF26" s="412">
        <f t="shared" si="7"/>
        <v>0</v>
      </c>
      <c r="AG26" s="412">
        <f t="shared" si="7"/>
        <v>0</v>
      </c>
      <c r="AH26" s="110">
        <f>SUM(C26:AG26)</f>
        <v>-17.950000000000045</v>
      </c>
    </row>
    <row r="27" spans="1:40" ht="16.5" thickBot="1" x14ac:dyDescent="0.3">
      <c r="A27" s="411"/>
      <c r="B27" s="183" t="s">
        <v>188</v>
      </c>
      <c r="C27" s="410">
        <f t="shared" ref="C27:AG27" si="8">SUM(C9:C13)-(C19+C21)</f>
        <v>0</v>
      </c>
      <c r="D27" s="410">
        <f t="shared" si="8"/>
        <v>0</v>
      </c>
      <c r="E27" s="410">
        <f>SUM(E9:E13)-(E19+E21)</f>
        <v>10</v>
      </c>
      <c r="F27" s="410">
        <f t="shared" si="8"/>
        <v>0</v>
      </c>
      <c r="G27" s="410">
        <f t="shared" si="8"/>
        <v>0</v>
      </c>
      <c r="H27" s="410">
        <f t="shared" si="8"/>
        <v>0</v>
      </c>
      <c r="I27" s="410">
        <f t="shared" si="8"/>
        <v>0</v>
      </c>
      <c r="J27" s="410">
        <f t="shared" si="8"/>
        <v>0</v>
      </c>
      <c r="K27" s="410">
        <f t="shared" si="8"/>
        <v>0</v>
      </c>
      <c r="L27" s="410">
        <f t="shared" si="8"/>
        <v>0</v>
      </c>
      <c r="M27" s="410">
        <f t="shared" si="8"/>
        <v>0</v>
      </c>
      <c r="N27" s="410">
        <f t="shared" si="8"/>
        <v>0</v>
      </c>
      <c r="O27" s="410">
        <f t="shared" si="8"/>
        <v>0</v>
      </c>
      <c r="P27" s="410">
        <f t="shared" si="8"/>
        <v>0</v>
      </c>
      <c r="Q27" s="410">
        <f t="shared" si="8"/>
        <v>0</v>
      </c>
      <c r="R27" s="410">
        <f t="shared" si="8"/>
        <v>0</v>
      </c>
      <c r="S27" s="410">
        <f t="shared" si="8"/>
        <v>0</v>
      </c>
      <c r="T27" s="410">
        <f t="shared" si="8"/>
        <v>0</v>
      </c>
      <c r="U27" s="410">
        <f t="shared" si="8"/>
        <v>0</v>
      </c>
      <c r="V27" s="410">
        <f t="shared" si="8"/>
        <v>0</v>
      </c>
      <c r="W27" s="410">
        <f t="shared" si="8"/>
        <v>0</v>
      </c>
      <c r="X27" s="410">
        <f t="shared" si="8"/>
        <v>0</v>
      </c>
      <c r="Y27" s="410">
        <f t="shared" si="8"/>
        <v>0</v>
      </c>
      <c r="Z27" s="410">
        <f t="shared" si="8"/>
        <v>0</v>
      </c>
      <c r="AA27" s="410">
        <f t="shared" si="8"/>
        <v>0</v>
      </c>
      <c r="AB27" s="410">
        <f t="shared" si="8"/>
        <v>0</v>
      </c>
      <c r="AC27" s="410">
        <f t="shared" si="8"/>
        <v>0</v>
      </c>
      <c r="AD27" s="410">
        <f t="shared" si="8"/>
        <v>0</v>
      </c>
      <c r="AE27" s="410">
        <f t="shared" si="8"/>
        <v>0</v>
      </c>
      <c r="AF27" s="410">
        <f t="shared" si="8"/>
        <v>0</v>
      </c>
      <c r="AG27" s="410">
        <f t="shared" si="8"/>
        <v>0</v>
      </c>
      <c r="AH27" s="112">
        <f>SUM(C27:AG27)</f>
        <v>10</v>
      </c>
    </row>
    <row r="28" spans="1:40" ht="16.5" thickBot="1" x14ac:dyDescent="0.3">
      <c r="A28" s="443"/>
      <c r="B28" s="443"/>
      <c r="C28" s="444"/>
      <c r="D28" s="444"/>
      <c r="E28" s="444"/>
      <c r="F28" s="444"/>
      <c r="G28" s="444"/>
      <c r="H28" s="444"/>
      <c r="I28" s="444"/>
      <c r="J28" s="444"/>
      <c r="K28" s="444"/>
      <c r="L28" s="444"/>
      <c r="M28" s="444"/>
      <c r="N28" s="444"/>
      <c r="O28" s="444"/>
      <c r="P28" s="444"/>
      <c r="Q28" s="444"/>
      <c r="R28" s="444"/>
      <c r="S28" s="444"/>
      <c r="T28" s="444"/>
      <c r="U28" s="444"/>
      <c r="V28" s="444"/>
      <c r="W28" s="444"/>
      <c r="X28" s="444"/>
      <c r="Y28" s="444"/>
      <c r="Z28" s="444"/>
      <c r="AA28" s="444"/>
      <c r="AB28" s="444"/>
      <c r="AC28" s="444"/>
      <c r="AD28" s="444"/>
      <c r="AE28" s="444"/>
      <c r="AF28" s="444"/>
      <c r="AG28" s="444"/>
      <c r="AH28" s="445"/>
    </row>
    <row r="29" spans="1:40" ht="16.5" thickBot="1" x14ac:dyDescent="0.3">
      <c r="A29" s="446" t="s">
        <v>212</v>
      </c>
      <c r="B29" s="447" t="s">
        <v>202</v>
      </c>
      <c r="C29" s="474">
        <f>44.23-0.04</f>
        <v>44.19</v>
      </c>
      <c r="D29" s="474">
        <f>49.32-0.1</f>
        <v>49.22</v>
      </c>
      <c r="E29" s="474">
        <f>50.43-0.04</f>
        <v>50.39</v>
      </c>
      <c r="F29" s="474">
        <v>45.06</v>
      </c>
      <c r="G29" s="474">
        <f>44.92-0.15</f>
        <v>44.77</v>
      </c>
      <c r="H29" s="474">
        <v>69.930000000000007</v>
      </c>
      <c r="I29" s="474">
        <v>51.14</v>
      </c>
      <c r="J29" s="474">
        <v>38</v>
      </c>
      <c r="K29" s="474">
        <v>34.369999999999997</v>
      </c>
      <c r="L29" s="474">
        <v>42.39</v>
      </c>
      <c r="M29" s="474">
        <v>40.909999999999997</v>
      </c>
      <c r="N29" s="474">
        <v>40.99</v>
      </c>
      <c r="O29" s="474">
        <v>47.85</v>
      </c>
      <c r="P29" s="474">
        <v>49.92</v>
      </c>
      <c r="Q29" s="474">
        <v>29.05</v>
      </c>
      <c r="R29" s="474">
        <v>26.44</v>
      </c>
      <c r="S29" s="474">
        <v>29.49</v>
      </c>
      <c r="T29" s="474">
        <v>30.79</v>
      </c>
      <c r="U29" s="474">
        <v>22.64</v>
      </c>
      <c r="V29" s="474">
        <v>39.200000000000003</v>
      </c>
      <c r="W29" s="474">
        <v>31.15</v>
      </c>
      <c r="X29" s="474">
        <v>22.2</v>
      </c>
      <c r="Y29" s="474">
        <v>25.45</v>
      </c>
      <c r="Z29" s="474">
        <v>12.37</v>
      </c>
      <c r="AA29" s="474">
        <v>24.17</v>
      </c>
      <c r="AB29" s="474">
        <v>19.920000000000002</v>
      </c>
      <c r="AC29" s="480">
        <v>48.93</v>
      </c>
      <c r="AD29" s="480">
        <v>35.92</v>
      </c>
      <c r="AE29" s="480">
        <v>28.99</v>
      </c>
      <c r="AF29" s="480">
        <v>20.88</v>
      </c>
      <c r="AG29" s="480">
        <v>25.89</v>
      </c>
      <c r="AH29" s="448">
        <f>SUM(C29:AG29)</f>
        <v>1122.6100000000001</v>
      </c>
      <c r="AJ29" s="211" t="s">
        <v>212</v>
      </c>
      <c r="AK29" s="212" t="s">
        <v>204</v>
      </c>
      <c r="AL29" s="488">
        <f>SUM(C29:AB29)</f>
        <v>962</v>
      </c>
      <c r="AM29" s="487">
        <f>SUM(AC29:AG29)</f>
        <v>160.61000000000001</v>
      </c>
    </row>
    <row r="30" spans="1:40" ht="16.5" thickBot="1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06" t="s">
        <v>57</v>
      </c>
      <c r="AK31" s="507"/>
    </row>
    <row r="32" spans="1:40" x14ac:dyDescent="0.25">
      <c r="A32" s="168"/>
      <c r="B32" s="139" t="s">
        <v>75</v>
      </c>
      <c r="C32" s="144">
        <v>205</v>
      </c>
      <c r="D32" s="144">
        <v>214</v>
      </c>
      <c r="E32" s="144">
        <v>200</v>
      </c>
      <c r="F32" s="144">
        <v>206</v>
      </c>
      <c r="G32" s="144">
        <v>181</v>
      </c>
      <c r="H32" s="144">
        <v>272</v>
      </c>
      <c r="I32" s="144">
        <v>189</v>
      </c>
      <c r="J32" s="144">
        <v>172</v>
      </c>
      <c r="K32" s="144">
        <v>180</v>
      </c>
      <c r="L32" s="144">
        <v>208</v>
      </c>
      <c r="M32" s="144">
        <v>173</v>
      </c>
      <c r="N32" s="144">
        <v>241</v>
      </c>
      <c r="O32" s="144">
        <f>251-2</f>
        <v>249</v>
      </c>
      <c r="P32" s="144">
        <v>225</v>
      </c>
      <c r="Q32" s="144">
        <v>167</v>
      </c>
      <c r="R32" s="144">
        <v>206</v>
      </c>
      <c r="S32" s="144">
        <v>132</v>
      </c>
      <c r="T32" s="144">
        <v>153</v>
      </c>
      <c r="U32" s="144">
        <v>117</v>
      </c>
      <c r="V32" s="144">
        <f>235+1-5</f>
        <v>231</v>
      </c>
      <c r="W32" s="144">
        <v>151</v>
      </c>
      <c r="X32" s="144">
        <v>92</v>
      </c>
      <c r="Y32" s="144">
        <f>140-4</f>
        <v>136</v>
      </c>
      <c r="Z32" s="144">
        <v>132</v>
      </c>
      <c r="AA32" s="144">
        <v>133</v>
      </c>
      <c r="AB32" s="144">
        <v>111</v>
      </c>
      <c r="AC32" s="144">
        <f>219-2</f>
        <v>217</v>
      </c>
      <c r="AD32" s="144">
        <v>192</v>
      </c>
      <c r="AE32" s="144">
        <v>150</v>
      </c>
      <c r="AF32" s="144">
        <v>109</v>
      </c>
      <c r="AG32" s="144">
        <v>90</v>
      </c>
      <c r="AH32" s="409">
        <f t="shared" ref="AH32:AH44" si="9">SUM(C32:AG32)</f>
        <v>5434</v>
      </c>
      <c r="AJ32" s="257">
        <f>AH32+AH39</f>
        <v>8972</v>
      </c>
      <c r="AK32" s="258" t="s">
        <v>75</v>
      </c>
    </row>
    <row r="33" spans="1:37" x14ac:dyDescent="0.25">
      <c r="A33" s="168"/>
      <c r="B33" s="143" t="s">
        <v>74</v>
      </c>
      <c r="C33" s="144">
        <v>69</v>
      </c>
      <c r="D33" s="144">
        <v>97</v>
      </c>
      <c r="E33" s="144">
        <v>80</v>
      </c>
      <c r="F33" s="144">
        <v>84</v>
      </c>
      <c r="G33" s="144">
        <v>78</v>
      </c>
      <c r="H33" s="144">
        <v>104</v>
      </c>
      <c r="I33" s="144">
        <v>63</v>
      </c>
      <c r="J33" s="144">
        <v>67</v>
      </c>
      <c r="K33" s="144">
        <v>56</v>
      </c>
      <c r="L33" s="144">
        <v>73</v>
      </c>
      <c r="M33" s="144">
        <v>70</v>
      </c>
      <c r="N33" s="144">
        <v>81</v>
      </c>
      <c r="O33" s="144">
        <v>64</v>
      </c>
      <c r="P33" s="144">
        <v>50</v>
      </c>
      <c r="Q33" s="144">
        <v>39</v>
      </c>
      <c r="R33" s="144">
        <v>31</v>
      </c>
      <c r="S33" s="144">
        <v>19</v>
      </c>
      <c r="T33" s="144">
        <v>29</v>
      </c>
      <c r="U33" s="144">
        <v>20</v>
      </c>
      <c r="V33" s="144">
        <f>43-1</f>
        <v>42</v>
      </c>
      <c r="W33" s="144">
        <v>21</v>
      </c>
      <c r="X33" s="144">
        <v>15</v>
      </c>
      <c r="Y33" s="144">
        <v>24</v>
      </c>
      <c r="Z33" s="144">
        <v>13</v>
      </c>
      <c r="AA33" s="144">
        <v>22</v>
      </c>
      <c r="AB33" s="144">
        <v>14</v>
      </c>
      <c r="AC33" s="144">
        <f>51-1</f>
        <v>50</v>
      </c>
      <c r="AD33" s="144">
        <v>18</v>
      </c>
      <c r="AE33" s="144">
        <v>24</v>
      </c>
      <c r="AF33" s="144">
        <v>11</v>
      </c>
      <c r="AG33" s="144">
        <v>7</v>
      </c>
      <c r="AH33" s="408">
        <f t="shared" si="9"/>
        <v>1435</v>
      </c>
      <c r="AJ33" s="257">
        <f t="shared" ref="AJ33:AJ37" si="10">AH33+AH40</f>
        <v>2244</v>
      </c>
      <c r="AK33" s="258" t="s">
        <v>74</v>
      </c>
    </row>
    <row r="34" spans="1:37" x14ac:dyDescent="0.25">
      <c r="A34" s="168"/>
      <c r="B34" s="143" t="s">
        <v>208</v>
      </c>
      <c r="C34" s="144">
        <v>15</v>
      </c>
      <c r="D34" s="144">
        <v>2</v>
      </c>
      <c r="E34" s="144">
        <v>8</v>
      </c>
      <c r="F34" s="144">
        <v>7</v>
      </c>
      <c r="G34" s="144">
        <v>6</v>
      </c>
      <c r="H34" s="144">
        <v>11</v>
      </c>
      <c r="I34" s="144">
        <v>9</v>
      </c>
      <c r="J34" s="144">
        <v>11</v>
      </c>
      <c r="K34" s="144">
        <v>4</v>
      </c>
      <c r="L34" s="144">
        <f>'[1]TEMP Summary'!$T$22</f>
        <v>0</v>
      </c>
      <c r="M34" s="144">
        <v>5</v>
      </c>
      <c r="N34" s="144">
        <v>1</v>
      </c>
      <c r="O34" s="144">
        <v>15</v>
      </c>
      <c r="P34" s="144">
        <v>11</v>
      </c>
      <c r="Q34" s="144">
        <v>9</v>
      </c>
      <c r="R34" s="144">
        <v>3</v>
      </c>
      <c r="S34" s="144">
        <f>'[1]TEMP Summary'!$T$22</f>
        <v>0</v>
      </c>
      <c r="T34" s="144">
        <v>2</v>
      </c>
      <c r="U34" s="144">
        <f>'[1]TEMP Summary'!$T$22</f>
        <v>0</v>
      </c>
      <c r="V34" s="144">
        <v>11</v>
      </c>
      <c r="W34" s="144">
        <v>12</v>
      </c>
      <c r="X34" s="144">
        <v>7</v>
      </c>
      <c r="Y34" s="144">
        <v>9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9-1</f>
        <v>8</v>
      </c>
      <c r="AD34" s="144">
        <v>5</v>
      </c>
      <c r="AE34" s="144">
        <v>10</v>
      </c>
      <c r="AF34" s="144">
        <v>3</v>
      </c>
      <c r="AG34" s="144">
        <f>'[1]TEMP Summary'!$T$22</f>
        <v>0</v>
      </c>
      <c r="AH34" s="408">
        <f t="shared" si="9"/>
        <v>184</v>
      </c>
      <c r="AJ34" s="257">
        <f t="shared" si="10"/>
        <v>269</v>
      </c>
      <c r="AK34" s="258" t="s">
        <v>209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v>1</v>
      </c>
      <c r="F35" s="144">
        <v>20</v>
      </c>
      <c r="G35" s="144">
        <f>'[1]TEMP Summary'!$T$22</f>
        <v>0</v>
      </c>
      <c r="H35" s="144">
        <v>16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v>46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08">
        <f t="shared" si="9"/>
        <v>83</v>
      </c>
      <c r="AJ35" s="257">
        <f t="shared" si="10"/>
        <v>162</v>
      </c>
      <c r="AK35" s="258" t="s">
        <v>72</v>
      </c>
    </row>
    <row r="36" spans="1:37" x14ac:dyDescent="0.25">
      <c r="A36" s="168"/>
      <c r="B36" s="143" t="s">
        <v>73</v>
      </c>
      <c r="C36" s="144">
        <v>37</v>
      </c>
      <c r="D36" s="144">
        <v>40</v>
      </c>
      <c r="E36" s="144">
        <f>64-2</f>
        <v>62</v>
      </c>
      <c r="F36" s="144">
        <v>56</v>
      </c>
      <c r="G36" s="144">
        <v>54</v>
      </c>
      <c r="H36" s="144">
        <v>46</v>
      </c>
      <c r="I36" s="144">
        <v>21</v>
      </c>
      <c r="J36" s="144">
        <v>37</v>
      </c>
      <c r="K36" s="144">
        <v>66</v>
      </c>
      <c r="L36" s="144">
        <v>46</v>
      </c>
      <c r="M36" s="144">
        <v>56</v>
      </c>
      <c r="N36" s="144">
        <v>50</v>
      </c>
      <c r="O36" s="144">
        <v>48</v>
      </c>
      <c r="P36" s="144">
        <v>63</v>
      </c>
      <c r="Q36" s="144">
        <v>51</v>
      </c>
      <c r="R36" s="144">
        <f>81-1</f>
        <v>80</v>
      </c>
      <c r="S36" s="144">
        <v>62</v>
      </c>
      <c r="T36" s="144">
        <v>66</v>
      </c>
      <c r="U36" s="144">
        <v>27</v>
      </c>
      <c r="V36" s="144">
        <f>62-2</f>
        <v>60</v>
      </c>
      <c r="W36" s="144">
        <v>42</v>
      </c>
      <c r="X36" s="144">
        <v>48</v>
      </c>
      <c r="Y36" s="144">
        <v>88</v>
      </c>
      <c r="Z36" s="144">
        <v>66</v>
      </c>
      <c r="AA36" s="144">
        <v>36</v>
      </c>
      <c r="AB36" s="144">
        <v>55</v>
      </c>
      <c r="AC36" s="144">
        <f>69-2</f>
        <v>67</v>
      </c>
      <c r="AD36" s="144">
        <v>34</v>
      </c>
      <c r="AE36" s="144">
        <v>47</v>
      </c>
      <c r="AF36" s="144">
        <v>72</v>
      </c>
      <c r="AG36" s="144">
        <v>33</v>
      </c>
      <c r="AH36" s="408">
        <f t="shared" si="9"/>
        <v>1616</v>
      </c>
      <c r="AJ36" s="257">
        <f t="shared" si="10"/>
        <v>2408</v>
      </c>
      <c r="AK36" s="258" t="s">
        <v>73</v>
      </c>
    </row>
    <row r="37" spans="1:37" x14ac:dyDescent="0.25">
      <c r="A37" s="168"/>
      <c r="B37" s="143" t="s">
        <v>71</v>
      </c>
      <c r="C37" s="144">
        <v>5</v>
      </c>
      <c r="D37" s="144">
        <v>4</v>
      </c>
      <c r="E37" s="144">
        <v>6</v>
      </c>
      <c r="F37" s="144">
        <v>5</v>
      </c>
      <c r="G37" s="144">
        <v>9</v>
      </c>
      <c r="H37" s="144">
        <v>10</v>
      </c>
      <c r="I37" s="144">
        <v>15</v>
      </c>
      <c r="J37" s="144">
        <v>6</v>
      </c>
      <c r="K37" s="144">
        <v>11</v>
      </c>
      <c r="L37" s="144">
        <v>7</v>
      </c>
      <c r="M37" s="144">
        <v>9</v>
      </c>
      <c r="N37" s="144">
        <v>2</v>
      </c>
      <c r="O37" s="144">
        <v>11</v>
      </c>
      <c r="P37" s="144">
        <v>2</v>
      </c>
      <c r="Q37" s="144">
        <v>3</v>
      </c>
      <c r="R37" s="144">
        <v>21</v>
      </c>
      <c r="S37" s="144">
        <v>4</v>
      </c>
      <c r="T37" s="144">
        <v>14</v>
      </c>
      <c r="U37" s="144">
        <v>4</v>
      </c>
      <c r="V37" s="144">
        <v>10</v>
      </c>
      <c r="W37" s="144">
        <v>15</v>
      </c>
      <c r="X37" s="144">
        <v>18</v>
      </c>
      <c r="Y37" s="144">
        <v>9</v>
      </c>
      <c r="Z37" s="144">
        <v>12</v>
      </c>
      <c r="AA37" s="144">
        <v>14</v>
      </c>
      <c r="AB37" s="144">
        <v>1</v>
      </c>
      <c r="AC37" s="144">
        <v>6</v>
      </c>
      <c r="AD37" s="144">
        <v>11</v>
      </c>
      <c r="AE37" s="144">
        <v>18</v>
      </c>
      <c r="AF37" s="144">
        <v>5</v>
      </c>
      <c r="AG37" s="144">
        <v>8</v>
      </c>
      <c r="AH37" s="408">
        <f t="shared" si="9"/>
        <v>275</v>
      </c>
      <c r="AJ37" s="257">
        <f t="shared" si="10"/>
        <v>373</v>
      </c>
      <c r="AK37" s="258" t="s">
        <v>71</v>
      </c>
    </row>
    <row r="38" spans="1:37" ht="15.75" thickBot="1" x14ac:dyDescent="0.3">
      <c r="A38" s="168"/>
      <c r="B38" s="438" t="s">
        <v>187</v>
      </c>
      <c r="C38" s="439">
        <f t="shared" ref="C38:AG38" si="11">SUM(C32:C37)</f>
        <v>331</v>
      </c>
      <c r="D38" s="440">
        <f t="shared" si="11"/>
        <v>357</v>
      </c>
      <c r="E38" s="440">
        <f t="shared" si="11"/>
        <v>357</v>
      </c>
      <c r="F38" s="440">
        <f t="shared" si="11"/>
        <v>378</v>
      </c>
      <c r="G38" s="440">
        <f t="shared" si="11"/>
        <v>328</v>
      </c>
      <c r="H38" s="440">
        <f t="shared" si="11"/>
        <v>459</v>
      </c>
      <c r="I38" s="440">
        <f t="shared" si="11"/>
        <v>297</v>
      </c>
      <c r="J38" s="440">
        <f t="shared" si="11"/>
        <v>293</v>
      </c>
      <c r="K38" s="440">
        <f t="shared" si="11"/>
        <v>317</v>
      </c>
      <c r="L38" s="440">
        <f t="shared" si="11"/>
        <v>334</v>
      </c>
      <c r="M38" s="440">
        <f t="shared" si="11"/>
        <v>313</v>
      </c>
      <c r="N38" s="440">
        <f t="shared" si="11"/>
        <v>375</v>
      </c>
      <c r="O38" s="440">
        <f t="shared" si="11"/>
        <v>387</v>
      </c>
      <c r="P38" s="440">
        <f t="shared" si="11"/>
        <v>351</v>
      </c>
      <c r="Q38" s="440">
        <f t="shared" si="11"/>
        <v>269</v>
      </c>
      <c r="R38" s="440">
        <f t="shared" si="11"/>
        <v>387</v>
      </c>
      <c r="S38" s="440">
        <f t="shared" si="11"/>
        <v>217</v>
      </c>
      <c r="T38" s="440">
        <f t="shared" si="11"/>
        <v>264</v>
      </c>
      <c r="U38" s="440">
        <f t="shared" si="11"/>
        <v>168</v>
      </c>
      <c r="V38" s="440">
        <f t="shared" si="11"/>
        <v>354</v>
      </c>
      <c r="W38" s="440">
        <f t="shared" si="11"/>
        <v>241</v>
      </c>
      <c r="X38" s="440">
        <f t="shared" si="11"/>
        <v>180</v>
      </c>
      <c r="Y38" s="440">
        <f t="shared" si="11"/>
        <v>266</v>
      </c>
      <c r="Z38" s="440">
        <f t="shared" si="11"/>
        <v>223</v>
      </c>
      <c r="AA38" s="440">
        <f t="shared" si="11"/>
        <v>205</v>
      </c>
      <c r="AB38" s="440">
        <f t="shared" si="11"/>
        <v>181</v>
      </c>
      <c r="AC38" s="440">
        <f t="shared" si="11"/>
        <v>348</v>
      </c>
      <c r="AD38" s="440">
        <f t="shared" si="11"/>
        <v>260</v>
      </c>
      <c r="AE38" s="440">
        <f t="shared" si="11"/>
        <v>249</v>
      </c>
      <c r="AF38" s="440">
        <f t="shared" si="11"/>
        <v>200</v>
      </c>
      <c r="AG38" s="441">
        <f t="shared" si="11"/>
        <v>138</v>
      </c>
      <c r="AH38" s="407">
        <f>SUM(C38:AG38)</f>
        <v>9027</v>
      </c>
      <c r="AJ38" s="257"/>
      <c r="AK38" s="258"/>
    </row>
    <row r="39" spans="1:37" x14ac:dyDescent="0.25">
      <c r="A39" s="168"/>
      <c r="B39" s="406" t="s">
        <v>75</v>
      </c>
      <c r="C39" s="140">
        <f>325-C32</f>
        <v>120</v>
      </c>
      <c r="D39" s="140">
        <f>341-D32</f>
        <v>127</v>
      </c>
      <c r="E39" s="140">
        <f>374-E32</f>
        <v>174</v>
      </c>
      <c r="F39" s="140">
        <f>345-F32</f>
        <v>139</v>
      </c>
      <c r="G39" s="140">
        <f>338-G32</f>
        <v>157</v>
      </c>
      <c r="H39" s="140">
        <f>452-H32</f>
        <v>180</v>
      </c>
      <c r="I39" s="140">
        <f>362-I32</f>
        <v>173</v>
      </c>
      <c r="J39" s="140">
        <f>306-J32</f>
        <v>134</v>
      </c>
      <c r="K39" s="140">
        <f>275-K32</f>
        <v>95</v>
      </c>
      <c r="L39" s="140">
        <f>328-L32</f>
        <v>120</v>
      </c>
      <c r="M39" s="140">
        <f>274-M32</f>
        <v>101</v>
      </c>
      <c r="N39" s="140">
        <f>350-N32</f>
        <v>109</v>
      </c>
      <c r="O39" s="140">
        <f>391-O32-2</f>
        <v>140</v>
      </c>
      <c r="P39" s="140">
        <f>386-P32</f>
        <v>161</v>
      </c>
      <c r="Q39" s="140">
        <f>242-Q32</f>
        <v>75</v>
      </c>
      <c r="R39" s="140">
        <f>278-R32</f>
        <v>72</v>
      </c>
      <c r="S39" s="140">
        <f>198-S32</f>
        <v>66</v>
      </c>
      <c r="T39" s="140">
        <f>262-T32</f>
        <v>109</v>
      </c>
      <c r="U39" s="140">
        <f>233-U32</f>
        <v>116</v>
      </c>
      <c r="V39" s="140">
        <f>376-V32+1-5</f>
        <v>141</v>
      </c>
      <c r="W39" s="140">
        <f>252-W32</f>
        <v>101</v>
      </c>
      <c r="X39" s="140">
        <f>185-X32</f>
        <v>93</v>
      </c>
      <c r="Y39" s="140">
        <f>233-4-Y32</f>
        <v>93</v>
      </c>
      <c r="Z39" s="140">
        <f>224-Z32</f>
        <v>92</v>
      </c>
      <c r="AA39" s="140">
        <f>182-AA32</f>
        <v>49</v>
      </c>
      <c r="AB39" s="140">
        <f>176-AB32</f>
        <v>65</v>
      </c>
      <c r="AC39" s="140">
        <f>380-AC32-2</f>
        <v>161</v>
      </c>
      <c r="AD39" s="140">
        <f>325-AD32</f>
        <v>133</v>
      </c>
      <c r="AE39" s="140">
        <f>232-AE32</f>
        <v>82</v>
      </c>
      <c r="AF39" s="140">
        <f>182-AF32</f>
        <v>73</v>
      </c>
      <c r="AG39" s="141">
        <f>177-AG32</f>
        <v>87</v>
      </c>
      <c r="AH39" s="142">
        <f t="shared" si="9"/>
        <v>3538</v>
      </c>
      <c r="AJ39" s="257"/>
      <c r="AK39" s="258"/>
    </row>
    <row r="40" spans="1:37" x14ac:dyDescent="0.25">
      <c r="A40" s="168"/>
      <c r="B40" s="143" t="s">
        <v>74</v>
      </c>
      <c r="C40" s="144">
        <f>123-C33</f>
        <v>54</v>
      </c>
      <c r="D40" s="144">
        <f>154-D33</f>
        <v>57</v>
      </c>
      <c r="E40" s="144">
        <f>137-E33</f>
        <v>57</v>
      </c>
      <c r="F40" s="144">
        <f>135-F33</f>
        <v>51</v>
      </c>
      <c r="G40" s="144">
        <f>120-G33</f>
        <v>42</v>
      </c>
      <c r="H40" s="144">
        <f>185-H33</f>
        <v>81</v>
      </c>
      <c r="I40" s="144">
        <f>117-I33</f>
        <v>54</v>
      </c>
      <c r="J40" s="144">
        <f>121-J33</f>
        <v>54</v>
      </c>
      <c r="K40" s="144">
        <f>84-K33</f>
        <v>28</v>
      </c>
      <c r="L40" s="144">
        <f>96-L33</f>
        <v>23</v>
      </c>
      <c r="M40" s="144">
        <f>98-M33</f>
        <v>28</v>
      </c>
      <c r="N40" s="144">
        <f>105-N33</f>
        <v>24</v>
      </c>
      <c r="O40" s="144">
        <f>81-O33</f>
        <v>17</v>
      </c>
      <c r="P40" s="144">
        <f>77-P33</f>
        <v>27</v>
      </c>
      <c r="Q40" s="144">
        <f>52-Q33</f>
        <v>13</v>
      </c>
      <c r="R40" s="144">
        <f>42-R33</f>
        <v>11</v>
      </c>
      <c r="S40" s="144">
        <f>31-S33</f>
        <v>12</v>
      </c>
      <c r="T40" s="144">
        <f>52-T33</f>
        <v>23</v>
      </c>
      <c r="U40" s="144">
        <f>25-U33</f>
        <v>5</v>
      </c>
      <c r="V40" s="144">
        <f>77-V33-1</f>
        <v>34</v>
      </c>
      <c r="W40" s="144">
        <f>40-W33</f>
        <v>19</v>
      </c>
      <c r="X40" s="144">
        <f>20-X33</f>
        <v>5</v>
      </c>
      <c r="Y40" s="144">
        <f>35-Y33</f>
        <v>11</v>
      </c>
      <c r="Z40" s="144">
        <f>20-Z33</f>
        <v>7</v>
      </c>
      <c r="AA40" s="144">
        <f>29-AA33</f>
        <v>7</v>
      </c>
      <c r="AB40" s="144">
        <f>17-AB33</f>
        <v>3</v>
      </c>
      <c r="AC40" s="144">
        <f>80-AC33-1</f>
        <v>29</v>
      </c>
      <c r="AD40" s="144">
        <f>33-AD33</f>
        <v>15</v>
      </c>
      <c r="AE40" s="144">
        <f>36-AE33</f>
        <v>12</v>
      </c>
      <c r="AF40" s="144">
        <f>13-AF33</f>
        <v>2</v>
      </c>
      <c r="AG40" s="145">
        <f>11-AG33</f>
        <v>4</v>
      </c>
      <c r="AH40" s="142">
        <f t="shared" si="9"/>
        <v>809</v>
      </c>
      <c r="AJ40" s="257"/>
      <c r="AK40" s="258"/>
    </row>
    <row r="41" spans="1:37" x14ac:dyDescent="0.25">
      <c r="A41" s="168"/>
      <c r="B41" s="143" t="s">
        <v>208</v>
      </c>
      <c r="C41" s="144">
        <f>20-C34</f>
        <v>5</v>
      </c>
      <c r="D41" s="144">
        <f>5-D34</f>
        <v>3</v>
      </c>
      <c r="E41" s="144">
        <f>15-E34</f>
        <v>7</v>
      </c>
      <c r="F41" s="144">
        <v>0</v>
      </c>
      <c r="G41" s="144">
        <f>10-G34</f>
        <v>4</v>
      </c>
      <c r="H41" s="144">
        <f>16-H34</f>
        <v>5</v>
      </c>
      <c r="I41" s="144">
        <f>17-I34</f>
        <v>8</v>
      </c>
      <c r="J41" s="144">
        <f>14-J34</f>
        <v>3</v>
      </c>
      <c r="K41" s="144">
        <f>6-K34</f>
        <v>2</v>
      </c>
      <c r="L41" s="144">
        <v>6</v>
      </c>
      <c r="M41" s="144">
        <f>7-M34</f>
        <v>2</v>
      </c>
      <c r="N41" s="144">
        <f>5-N34</f>
        <v>4</v>
      </c>
      <c r="O41" s="144">
        <f>17-O34</f>
        <v>2</v>
      </c>
      <c r="P41" s="144">
        <f>16-P34</f>
        <v>5</v>
      </c>
      <c r="Q41" s="144">
        <f>11-Q34</f>
        <v>2</v>
      </c>
      <c r="R41" s="144">
        <v>3</v>
      </c>
      <c r="S41" s="144">
        <f>'[1]TEMP Summary'!$T$22</f>
        <v>0</v>
      </c>
      <c r="T41" s="144">
        <f>3-T34</f>
        <v>1</v>
      </c>
      <c r="U41" s="144">
        <f>'[1]TEMP Summary'!$T$22</f>
        <v>0</v>
      </c>
      <c r="V41" s="144">
        <f>20-V34</f>
        <v>9</v>
      </c>
      <c r="W41" s="144">
        <f>'[1]TEMP Summary'!$T$22</f>
        <v>0</v>
      </c>
      <c r="X41" s="144">
        <f>9-X34</f>
        <v>2</v>
      </c>
      <c r="Y41" s="144">
        <f>11-Y34</f>
        <v>2</v>
      </c>
      <c r="Z41" s="144">
        <v>4</v>
      </c>
      <c r="AA41" s="144">
        <f>'[1]TEMP Summary'!$T$22</f>
        <v>0</v>
      </c>
      <c r="AB41" s="144">
        <f>'[1]TEMP Summary'!$T$22</f>
        <v>0</v>
      </c>
      <c r="AC41" s="144">
        <f>10-AC34-1</f>
        <v>1</v>
      </c>
      <c r="AD41" s="144">
        <f>7-AD34</f>
        <v>2</v>
      </c>
      <c r="AE41" s="144">
        <f>11-AE34</f>
        <v>1</v>
      </c>
      <c r="AF41" s="144">
        <f>4-AF34</f>
        <v>1</v>
      </c>
      <c r="AG41" s="145">
        <v>1</v>
      </c>
      <c r="AH41" s="142">
        <f t="shared" si="9"/>
        <v>85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v>30</v>
      </c>
      <c r="E42" s="144">
        <f>'[1]TEMP Summary'!$T$22</f>
        <v>0</v>
      </c>
      <c r="F42" s="144">
        <f>37-F35</f>
        <v>17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v>17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v>15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9"/>
        <v>79</v>
      </c>
      <c r="AJ42" s="257"/>
      <c r="AK42" s="258"/>
    </row>
    <row r="43" spans="1:37" x14ac:dyDescent="0.25">
      <c r="A43" s="168"/>
      <c r="B43" s="143" t="s">
        <v>73</v>
      </c>
      <c r="C43" s="144">
        <f>65-C36</f>
        <v>28</v>
      </c>
      <c r="D43" s="144">
        <f>72-D36</f>
        <v>32</v>
      </c>
      <c r="E43" s="144">
        <f>91-E36-2</f>
        <v>27</v>
      </c>
      <c r="F43" s="144">
        <f>92-F36</f>
        <v>36</v>
      </c>
      <c r="G43" s="144">
        <f>72-G36</f>
        <v>18</v>
      </c>
      <c r="H43" s="144">
        <f>73-H36</f>
        <v>27</v>
      </c>
      <c r="I43" s="144">
        <f>68-I36</f>
        <v>47</v>
      </c>
      <c r="J43" s="144">
        <f>72-J36</f>
        <v>35</v>
      </c>
      <c r="K43" s="144">
        <f>91-K36</f>
        <v>25</v>
      </c>
      <c r="L43" s="144">
        <f>74-L36</f>
        <v>28</v>
      </c>
      <c r="M43" s="144">
        <f>68-M36</f>
        <v>12</v>
      </c>
      <c r="N43" s="144">
        <f>59-N36</f>
        <v>9</v>
      </c>
      <c r="O43" s="144">
        <f>63-O36</f>
        <v>15</v>
      </c>
      <c r="P43" s="144">
        <f>112-P36</f>
        <v>49</v>
      </c>
      <c r="Q43" s="144">
        <f>64-Q36</f>
        <v>13</v>
      </c>
      <c r="R43" s="144">
        <f>102-R36-1</f>
        <v>21</v>
      </c>
      <c r="S43" s="144">
        <f>83-S36</f>
        <v>21</v>
      </c>
      <c r="T43" s="144">
        <f>97-T36</f>
        <v>31</v>
      </c>
      <c r="U43" s="144">
        <f>44-U36</f>
        <v>17</v>
      </c>
      <c r="V43" s="144">
        <f>86-V36-2</f>
        <v>24</v>
      </c>
      <c r="W43" s="144">
        <f>86-W36</f>
        <v>44</v>
      </c>
      <c r="X43" s="144">
        <f>66-X36</f>
        <v>18</v>
      </c>
      <c r="Y43" s="144">
        <f>117-Y36</f>
        <v>29</v>
      </c>
      <c r="Z43" s="144">
        <f>99-Z36</f>
        <v>33</v>
      </c>
      <c r="AA43" s="144">
        <f>51-AA36</f>
        <v>15</v>
      </c>
      <c r="AB43" s="144">
        <f>62-AB36</f>
        <v>7</v>
      </c>
      <c r="AC43" s="144">
        <f>85-AC36-2</f>
        <v>16</v>
      </c>
      <c r="AD43" s="144">
        <f>58-AD36</f>
        <v>24</v>
      </c>
      <c r="AE43" s="144">
        <f>93-AE36</f>
        <v>46</v>
      </c>
      <c r="AF43" s="144">
        <f>95-AF36</f>
        <v>23</v>
      </c>
      <c r="AG43" s="145">
        <f>55-AG36</f>
        <v>22</v>
      </c>
      <c r="AH43" s="142">
        <f t="shared" si="9"/>
        <v>792</v>
      </c>
      <c r="AJ43" s="257"/>
      <c r="AK43" s="258"/>
    </row>
    <row r="44" spans="1:37" x14ac:dyDescent="0.25">
      <c r="A44" s="168"/>
      <c r="B44" s="143" t="s">
        <v>71</v>
      </c>
      <c r="C44" s="144">
        <f>6-C37</f>
        <v>1</v>
      </c>
      <c r="D44" s="144">
        <f>11-D37</f>
        <v>7</v>
      </c>
      <c r="E44" s="144">
        <f>7-E37</f>
        <v>1</v>
      </c>
      <c r="F44" s="144">
        <f>7-F37</f>
        <v>2</v>
      </c>
      <c r="G44" s="144">
        <f>14-G37</f>
        <v>5</v>
      </c>
      <c r="H44" s="144">
        <f>11-H37</f>
        <v>1</v>
      </c>
      <c r="I44" s="144">
        <f>18-I37</f>
        <v>3</v>
      </c>
      <c r="J44" s="144">
        <f>8-J37</f>
        <v>2</v>
      </c>
      <c r="K44" s="144">
        <f>18-K37</f>
        <v>7</v>
      </c>
      <c r="L44" s="144">
        <f>8-L37</f>
        <v>1</v>
      </c>
      <c r="M44" s="144">
        <f>12-M37</f>
        <v>3</v>
      </c>
      <c r="N44" s="144">
        <f>6-N37</f>
        <v>4</v>
      </c>
      <c r="O44" s="144">
        <f>15-O37</f>
        <v>4</v>
      </c>
      <c r="P44" s="144">
        <f>4-P37</f>
        <v>2</v>
      </c>
      <c r="Q44" s="144">
        <f>6-Q37</f>
        <v>3</v>
      </c>
      <c r="R44" s="144">
        <f>24-R37</f>
        <v>3</v>
      </c>
      <c r="S44" s="144">
        <f>8-S37</f>
        <v>4</v>
      </c>
      <c r="T44" s="144">
        <f>22-T37</f>
        <v>8</v>
      </c>
      <c r="U44" s="144">
        <f>6-U37</f>
        <v>2</v>
      </c>
      <c r="V44" s="144">
        <f>12-V37</f>
        <v>2</v>
      </c>
      <c r="W44" s="144">
        <f>18-W37</f>
        <v>3</v>
      </c>
      <c r="X44" s="144">
        <f>22-X37</f>
        <v>4</v>
      </c>
      <c r="Y44" s="144">
        <f>10-Y37</f>
        <v>1</v>
      </c>
      <c r="Z44" s="144">
        <v>0</v>
      </c>
      <c r="AA44" s="144">
        <f>'[1]TEMP Summary'!$T$22</f>
        <v>0</v>
      </c>
      <c r="AB44" s="144">
        <f>3-AB37</f>
        <v>2</v>
      </c>
      <c r="AC44" s="144">
        <f>7-AC37</f>
        <v>1</v>
      </c>
      <c r="AD44" s="144">
        <f>'[1]TEMP Summary'!$T$22</f>
        <v>0</v>
      </c>
      <c r="AE44" s="144">
        <f>26-AE37</f>
        <v>8</v>
      </c>
      <c r="AF44" s="144">
        <f>11-AF37</f>
        <v>6</v>
      </c>
      <c r="AG44" s="145">
        <f>16-AG37</f>
        <v>8</v>
      </c>
      <c r="AH44" s="142">
        <f t="shared" si="9"/>
        <v>98</v>
      </c>
      <c r="AJ44" s="257"/>
      <c r="AK44" s="259"/>
    </row>
    <row r="45" spans="1:37" x14ac:dyDescent="0.25">
      <c r="A45" s="168"/>
      <c r="B45" s="442" t="s">
        <v>186</v>
      </c>
      <c r="C45" s="439">
        <f t="shared" ref="C45:AG45" si="12">SUM(C39:C44)</f>
        <v>208</v>
      </c>
      <c r="D45" s="439">
        <f t="shared" si="12"/>
        <v>256</v>
      </c>
      <c r="E45" s="439">
        <f t="shared" si="12"/>
        <v>266</v>
      </c>
      <c r="F45" s="439">
        <f t="shared" si="12"/>
        <v>245</v>
      </c>
      <c r="G45" s="439">
        <f t="shared" si="12"/>
        <v>226</v>
      </c>
      <c r="H45" s="439">
        <f t="shared" si="12"/>
        <v>294</v>
      </c>
      <c r="I45" s="439">
        <f t="shared" si="12"/>
        <v>285</v>
      </c>
      <c r="J45" s="439">
        <f t="shared" si="12"/>
        <v>228</v>
      </c>
      <c r="K45" s="439">
        <f t="shared" si="12"/>
        <v>157</v>
      </c>
      <c r="L45" s="439">
        <f t="shared" si="12"/>
        <v>178</v>
      </c>
      <c r="M45" s="439">
        <f t="shared" si="12"/>
        <v>146</v>
      </c>
      <c r="N45" s="439">
        <f t="shared" si="12"/>
        <v>150</v>
      </c>
      <c r="O45" s="439">
        <f t="shared" si="12"/>
        <v>195</v>
      </c>
      <c r="P45" s="439">
        <f t="shared" si="12"/>
        <v>244</v>
      </c>
      <c r="Q45" s="439">
        <f t="shared" si="12"/>
        <v>106</v>
      </c>
      <c r="R45" s="439">
        <f t="shared" si="12"/>
        <v>110</v>
      </c>
      <c r="S45" s="439">
        <f t="shared" si="12"/>
        <v>118</v>
      </c>
      <c r="T45" s="439">
        <f t="shared" si="12"/>
        <v>172</v>
      </c>
      <c r="U45" s="439">
        <f t="shared" si="12"/>
        <v>140</v>
      </c>
      <c r="V45" s="439">
        <f t="shared" si="12"/>
        <v>210</v>
      </c>
      <c r="W45" s="439">
        <f t="shared" si="12"/>
        <v>167</v>
      </c>
      <c r="X45" s="439">
        <f t="shared" si="12"/>
        <v>122</v>
      </c>
      <c r="Y45" s="439">
        <f t="shared" si="12"/>
        <v>136</v>
      </c>
      <c r="Z45" s="439">
        <f t="shared" si="12"/>
        <v>136</v>
      </c>
      <c r="AA45" s="439">
        <f t="shared" si="12"/>
        <v>71</v>
      </c>
      <c r="AB45" s="439">
        <f t="shared" si="12"/>
        <v>77</v>
      </c>
      <c r="AC45" s="439">
        <f t="shared" si="12"/>
        <v>208</v>
      </c>
      <c r="AD45" s="439">
        <f t="shared" si="12"/>
        <v>174</v>
      </c>
      <c r="AE45" s="439">
        <f t="shared" si="12"/>
        <v>149</v>
      </c>
      <c r="AF45" s="439">
        <f t="shared" si="12"/>
        <v>105</v>
      </c>
      <c r="AG45" s="441">
        <f t="shared" si="12"/>
        <v>122</v>
      </c>
      <c r="AH45" s="405">
        <f>SUM(C45:AG45)</f>
        <v>5401</v>
      </c>
      <c r="AJ45" s="404"/>
      <c r="AK45" s="403"/>
    </row>
    <row r="46" spans="1:37" s="170" customFormat="1" ht="15.75" thickBot="1" x14ac:dyDescent="0.3">
      <c r="A46" s="169"/>
      <c r="B46" s="146" t="s">
        <v>76</v>
      </c>
      <c r="C46" s="147">
        <f t="shared" ref="C46:AG46" si="13">SUM(C32:C37,C39:C44)</f>
        <v>539</v>
      </c>
      <c r="D46" s="147">
        <f t="shared" si="13"/>
        <v>613</v>
      </c>
      <c r="E46" s="147">
        <f t="shared" si="13"/>
        <v>623</v>
      </c>
      <c r="F46" s="147">
        <f t="shared" si="13"/>
        <v>623</v>
      </c>
      <c r="G46" s="147">
        <f t="shared" si="13"/>
        <v>554</v>
      </c>
      <c r="H46" s="147">
        <f t="shared" si="13"/>
        <v>753</v>
      </c>
      <c r="I46" s="147">
        <f t="shared" si="13"/>
        <v>582</v>
      </c>
      <c r="J46" s="147">
        <f t="shared" si="13"/>
        <v>521</v>
      </c>
      <c r="K46" s="147">
        <f t="shared" si="13"/>
        <v>474</v>
      </c>
      <c r="L46" s="147">
        <f t="shared" si="13"/>
        <v>512</v>
      </c>
      <c r="M46" s="147">
        <f t="shared" si="13"/>
        <v>459</v>
      </c>
      <c r="N46" s="147">
        <f t="shared" si="13"/>
        <v>525</v>
      </c>
      <c r="O46" s="147">
        <f t="shared" si="13"/>
        <v>582</v>
      </c>
      <c r="P46" s="147">
        <f t="shared" si="13"/>
        <v>595</v>
      </c>
      <c r="Q46" s="147">
        <f t="shared" si="13"/>
        <v>375</v>
      </c>
      <c r="R46" s="147">
        <f t="shared" si="13"/>
        <v>497</v>
      </c>
      <c r="S46" s="147">
        <f t="shared" si="13"/>
        <v>335</v>
      </c>
      <c r="T46" s="147">
        <f t="shared" si="13"/>
        <v>436</v>
      </c>
      <c r="U46" s="147">
        <f t="shared" si="13"/>
        <v>308</v>
      </c>
      <c r="V46" s="147">
        <f t="shared" si="13"/>
        <v>564</v>
      </c>
      <c r="W46" s="147">
        <f t="shared" si="13"/>
        <v>408</v>
      </c>
      <c r="X46" s="147">
        <f t="shared" si="13"/>
        <v>302</v>
      </c>
      <c r="Y46" s="147">
        <f t="shared" si="13"/>
        <v>402</v>
      </c>
      <c r="Z46" s="147">
        <f t="shared" si="13"/>
        <v>359</v>
      </c>
      <c r="AA46" s="147">
        <f t="shared" si="13"/>
        <v>276</v>
      </c>
      <c r="AB46" s="147">
        <f t="shared" si="13"/>
        <v>258</v>
      </c>
      <c r="AC46" s="147">
        <f t="shared" si="13"/>
        <v>556</v>
      </c>
      <c r="AD46" s="147">
        <f t="shared" si="13"/>
        <v>434</v>
      </c>
      <c r="AE46" s="147">
        <f t="shared" si="13"/>
        <v>398</v>
      </c>
      <c r="AF46" s="147">
        <f t="shared" si="13"/>
        <v>305</v>
      </c>
      <c r="AG46" s="262">
        <f t="shared" si="13"/>
        <v>260</v>
      </c>
      <c r="AH46" s="148">
        <f>SUM(AH32:AH37,AH39:AH44)</f>
        <v>14428</v>
      </c>
      <c r="AJ46" s="260">
        <f>AH46</f>
        <v>14428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4"/>
  <sheetViews>
    <sheetView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G13" sqref="AG13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220</v>
      </c>
      <c r="B1" s="377" t="str">
        <f>'Cash Flow'!C1</f>
        <v>August</v>
      </c>
      <c r="C1" s="228" t="str">
        <f t="array" ref="C1:AG1">TRANSPOSE('Cash Flow'!B8:B38)</f>
        <v>Mon</v>
      </c>
      <c r="D1" s="228" t="str">
        <v>Tue</v>
      </c>
      <c r="E1" s="228" t="str">
        <v>Wed</v>
      </c>
      <c r="F1" s="228" t="str">
        <v>Thu</v>
      </c>
      <c r="G1" s="228" t="str">
        <v>Fri</v>
      </c>
      <c r="H1" s="228" t="str">
        <v>Sat</v>
      </c>
      <c r="I1" s="228" t="str">
        <v>Sun</v>
      </c>
      <c r="J1" s="228" t="str">
        <v>Mon</v>
      </c>
      <c r="K1" s="228" t="str">
        <v>Tue</v>
      </c>
      <c r="L1" s="228" t="str">
        <v>Wed</v>
      </c>
      <c r="M1" s="228" t="str">
        <v>Thu</v>
      </c>
      <c r="N1" s="228" t="str">
        <v>Fri</v>
      </c>
      <c r="O1" s="228" t="str">
        <v>Sat</v>
      </c>
      <c r="P1" s="228" t="str">
        <v>Sun</v>
      </c>
      <c r="Q1" s="228" t="str">
        <v>Mon</v>
      </c>
      <c r="R1" s="228" t="str">
        <v>Tue</v>
      </c>
      <c r="S1" s="228" t="str">
        <v>Wed</v>
      </c>
      <c r="T1" s="228" t="str">
        <v>Thu</v>
      </c>
      <c r="U1" s="228" t="str">
        <v>Fri</v>
      </c>
      <c r="V1" s="228" t="str">
        <v>Sat</v>
      </c>
      <c r="W1" s="228" t="str">
        <v>Sun</v>
      </c>
      <c r="X1" s="228" t="str">
        <v>Mon</v>
      </c>
      <c r="Y1" s="228" t="str">
        <v>Tue</v>
      </c>
      <c r="Z1" s="228" t="str">
        <v>Wed</v>
      </c>
      <c r="AA1" s="228" t="str">
        <v>Thu</v>
      </c>
      <c r="AB1" s="228" t="str">
        <v>Fri</v>
      </c>
      <c r="AC1" s="228" t="str">
        <v>Sat</v>
      </c>
      <c r="AD1" s="228" t="str">
        <v>Sun</v>
      </c>
      <c r="AE1" s="228" t="str">
        <v>Mon</v>
      </c>
      <c r="AF1" s="228" t="str">
        <v>Tue</v>
      </c>
      <c r="AG1" s="228" t="str">
        <v>Wed</v>
      </c>
    </row>
    <row r="2" spans="1:40" s="60" customFormat="1" ht="16.5" thickBot="1" x14ac:dyDescent="0.3">
      <c r="A2" s="63" t="s">
        <v>66</v>
      </c>
      <c r="B2" s="64" t="s">
        <v>131</v>
      </c>
      <c r="C2" s="106">
        <f>'Cash Flow'!A8</f>
        <v>44774</v>
      </c>
      <c r="D2" s="106">
        <f>C2+1</f>
        <v>44775</v>
      </c>
      <c r="E2" s="106">
        <f>D2+1</f>
        <v>44776</v>
      </c>
      <c r="F2" s="106">
        <f t="shared" ref="F2:AG2" si="0">E2+1</f>
        <v>44777</v>
      </c>
      <c r="G2" s="106">
        <f t="shared" si="0"/>
        <v>44778</v>
      </c>
      <c r="H2" s="106">
        <f t="shared" si="0"/>
        <v>44779</v>
      </c>
      <c r="I2" s="106">
        <f t="shared" si="0"/>
        <v>44780</v>
      </c>
      <c r="J2" s="106">
        <f t="shared" si="0"/>
        <v>44781</v>
      </c>
      <c r="K2" s="106">
        <f t="shared" si="0"/>
        <v>44782</v>
      </c>
      <c r="L2" s="106">
        <f t="shared" si="0"/>
        <v>44783</v>
      </c>
      <c r="M2" s="106">
        <f t="shared" si="0"/>
        <v>44784</v>
      </c>
      <c r="N2" s="106">
        <f t="shared" si="0"/>
        <v>44785</v>
      </c>
      <c r="O2" s="106">
        <f t="shared" si="0"/>
        <v>44786</v>
      </c>
      <c r="P2" s="106">
        <f t="shared" si="0"/>
        <v>44787</v>
      </c>
      <c r="Q2" s="106">
        <f t="shared" si="0"/>
        <v>44788</v>
      </c>
      <c r="R2" s="106">
        <f t="shared" si="0"/>
        <v>44789</v>
      </c>
      <c r="S2" s="106">
        <f t="shared" si="0"/>
        <v>44790</v>
      </c>
      <c r="T2" s="106">
        <f t="shared" si="0"/>
        <v>44791</v>
      </c>
      <c r="U2" s="106">
        <f t="shared" si="0"/>
        <v>44792</v>
      </c>
      <c r="V2" s="106">
        <f t="shared" si="0"/>
        <v>44793</v>
      </c>
      <c r="W2" s="106">
        <f t="shared" si="0"/>
        <v>44794</v>
      </c>
      <c r="X2" s="106">
        <f t="shared" si="0"/>
        <v>44795</v>
      </c>
      <c r="Y2" s="106">
        <f t="shared" si="0"/>
        <v>44796</v>
      </c>
      <c r="Z2" s="106">
        <f t="shared" si="0"/>
        <v>44797</v>
      </c>
      <c r="AA2" s="106">
        <f t="shared" si="0"/>
        <v>44798</v>
      </c>
      <c r="AB2" s="106">
        <f t="shared" si="0"/>
        <v>44799</v>
      </c>
      <c r="AC2" s="106">
        <f t="shared" si="0"/>
        <v>44800</v>
      </c>
      <c r="AD2" s="106">
        <f t="shared" si="0"/>
        <v>44801</v>
      </c>
      <c r="AE2" s="106">
        <f t="shared" si="0"/>
        <v>44802</v>
      </c>
      <c r="AF2" s="106">
        <f t="shared" si="0"/>
        <v>44803</v>
      </c>
      <c r="AG2" s="106">
        <f t="shared" si="0"/>
        <v>44804</v>
      </c>
      <c r="AH2" s="65" t="s">
        <v>59</v>
      </c>
      <c r="AI2" s="62"/>
      <c r="AJ2" s="63" t="s">
        <v>66</v>
      </c>
      <c r="AK2" s="64" t="s">
        <v>131</v>
      </c>
    </row>
    <row r="3" spans="1:40" x14ac:dyDescent="0.25">
      <c r="A3" s="66" t="s">
        <v>61</v>
      </c>
      <c r="B3" s="67" t="s">
        <v>62</v>
      </c>
      <c r="C3" s="68">
        <v>1.52</v>
      </c>
      <c r="D3" s="185">
        <v>4.59</v>
      </c>
      <c r="E3" s="185">
        <v>4.45</v>
      </c>
      <c r="F3" s="185"/>
      <c r="G3" s="185">
        <v>2.36</v>
      </c>
      <c r="H3" s="185">
        <v>4.7699999999999996</v>
      </c>
      <c r="I3" s="185">
        <v>5.67</v>
      </c>
      <c r="J3" s="185">
        <v>3.82</v>
      </c>
      <c r="K3" s="185">
        <v>1.84</v>
      </c>
      <c r="L3" s="185">
        <v>2.84</v>
      </c>
      <c r="M3" s="185">
        <v>5.01</v>
      </c>
      <c r="N3" s="185"/>
      <c r="O3" s="185">
        <v>7.15</v>
      </c>
      <c r="P3" s="185">
        <v>3.4</v>
      </c>
      <c r="Q3" s="185">
        <v>24.23</v>
      </c>
      <c r="R3" s="185">
        <v>4.68</v>
      </c>
      <c r="S3" s="185">
        <v>23.59</v>
      </c>
      <c r="T3" s="185">
        <v>7.51</v>
      </c>
      <c r="U3" s="185">
        <v>7.56</v>
      </c>
      <c r="V3" s="185">
        <v>6.43</v>
      </c>
      <c r="W3" s="185">
        <v>2.5499999999999998</v>
      </c>
      <c r="X3" s="185">
        <v>4.91</v>
      </c>
      <c r="Y3" s="185">
        <v>22.58</v>
      </c>
      <c r="Z3" s="185">
        <v>2.56</v>
      </c>
      <c r="AA3" s="185"/>
      <c r="AB3" s="185">
        <v>1.61</v>
      </c>
      <c r="AC3" s="185">
        <v>3.5</v>
      </c>
      <c r="AD3" s="185">
        <v>20.170000000000002</v>
      </c>
      <c r="AE3" s="185">
        <v>1.51</v>
      </c>
      <c r="AF3" s="185">
        <v>4.72</v>
      </c>
      <c r="AG3" s="185">
        <v>0.33</v>
      </c>
      <c r="AH3" s="108">
        <f>SUM(C3:AG3)</f>
        <v>185.86</v>
      </c>
      <c r="AJ3" s="66" t="s">
        <v>61</v>
      </c>
      <c r="AK3" s="67" t="s">
        <v>62</v>
      </c>
      <c r="AL3" s="210"/>
      <c r="AM3" s="210"/>
    </row>
    <row r="4" spans="1:40" ht="16.5" thickBot="1" x14ac:dyDescent="0.3">
      <c r="A4" s="69" t="s">
        <v>221</v>
      </c>
      <c r="B4" s="70" t="s">
        <v>222</v>
      </c>
      <c r="C4" s="71">
        <v>16</v>
      </c>
      <c r="D4" s="72">
        <v>48.5</v>
      </c>
      <c r="E4" s="71">
        <v>47</v>
      </c>
      <c r="F4" s="71"/>
      <c r="G4" s="71">
        <v>25</v>
      </c>
      <c r="H4" s="71">
        <v>50.5</v>
      </c>
      <c r="I4" s="71">
        <v>60</v>
      </c>
      <c r="J4" s="71">
        <v>40.5</v>
      </c>
      <c r="K4" s="71">
        <v>19.5</v>
      </c>
      <c r="L4" s="71">
        <v>30</v>
      </c>
      <c r="M4" s="71">
        <v>52.95</v>
      </c>
      <c r="N4" s="71"/>
      <c r="O4" s="71">
        <v>75.5</v>
      </c>
      <c r="P4" s="71">
        <v>35.950000000000003</v>
      </c>
      <c r="Q4" s="71">
        <v>256.3</v>
      </c>
      <c r="R4" s="71">
        <v>49.5</v>
      </c>
      <c r="S4" s="71">
        <v>249.35</v>
      </c>
      <c r="T4" s="71">
        <v>79.5</v>
      </c>
      <c r="U4" s="71">
        <v>80</v>
      </c>
      <c r="V4" s="71">
        <v>68</v>
      </c>
      <c r="W4" s="71">
        <v>27</v>
      </c>
      <c r="X4" s="71">
        <v>52</v>
      </c>
      <c r="Y4" s="71">
        <v>238.85</v>
      </c>
      <c r="Z4" s="71">
        <v>27</v>
      </c>
      <c r="AA4" s="71"/>
      <c r="AB4" s="71">
        <v>17</v>
      </c>
      <c r="AC4" s="71">
        <v>37</v>
      </c>
      <c r="AD4" s="71">
        <v>213.5</v>
      </c>
      <c r="AE4" s="71">
        <v>16</v>
      </c>
      <c r="AF4" s="71">
        <v>50</v>
      </c>
      <c r="AG4" s="71">
        <v>3.5</v>
      </c>
      <c r="AH4" s="108">
        <f t="shared" ref="AH4" si="1">SUM(C4:AG4)</f>
        <v>1965.8999999999999</v>
      </c>
      <c r="AJ4" s="69" t="s">
        <v>221</v>
      </c>
      <c r="AK4" s="70" t="s">
        <v>222</v>
      </c>
      <c r="AL4" s="210"/>
      <c r="AM4" s="210"/>
    </row>
    <row r="5" spans="1:40" s="60" customFormat="1" ht="13.5" thickBot="1" x14ac:dyDescent="0.25">
      <c r="A5" s="199"/>
      <c r="B5" s="84" t="s">
        <v>64</v>
      </c>
      <c r="C5" s="107">
        <f t="shared" ref="C5:AG5" si="2">SUM(C3:C4)</f>
        <v>17.52</v>
      </c>
      <c r="D5" s="107">
        <f t="shared" si="2"/>
        <v>53.09</v>
      </c>
      <c r="E5" s="107">
        <f t="shared" si="2"/>
        <v>51.45</v>
      </c>
      <c r="F5" s="107">
        <f t="shared" si="2"/>
        <v>0</v>
      </c>
      <c r="G5" s="107">
        <f t="shared" si="2"/>
        <v>27.36</v>
      </c>
      <c r="H5" s="107">
        <f t="shared" si="2"/>
        <v>55.269999999999996</v>
      </c>
      <c r="I5" s="107">
        <f t="shared" si="2"/>
        <v>65.67</v>
      </c>
      <c r="J5" s="107">
        <f t="shared" si="2"/>
        <v>44.32</v>
      </c>
      <c r="K5" s="107">
        <f t="shared" si="2"/>
        <v>21.34</v>
      </c>
      <c r="L5" s="107">
        <f t="shared" si="2"/>
        <v>32.840000000000003</v>
      </c>
      <c r="M5" s="107">
        <f t="shared" si="2"/>
        <v>57.96</v>
      </c>
      <c r="N5" s="107">
        <f t="shared" si="2"/>
        <v>0</v>
      </c>
      <c r="O5" s="107">
        <f t="shared" si="2"/>
        <v>82.65</v>
      </c>
      <c r="P5" s="107">
        <f t="shared" si="2"/>
        <v>39.35</v>
      </c>
      <c r="Q5" s="107">
        <f t="shared" si="2"/>
        <v>280.53000000000003</v>
      </c>
      <c r="R5" s="107">
        <f t="shared" si="2"/>
        <v>54.18</v>
      </c>
      <c r="S5" s="107">
        <f t="shared" si="2"/>
        <v>272.94</v>
      </c>
      <c r="T5" s="107">
        <f t="shared" si="2"/>
        <v>87.01</v>
      </c>
      <c r="U5" s="107">
        <f t="shared" si="2"/>
        <v>87.56</v>
      </c>
      <c r="V5" s="107">
        <f t="shared" si="2"/>
        <v>74.430000000000007</v>
      </c>
      <c r="W5" s="107">
        <f t="shared" si="2"/>
        <v>29.55</v>
      </c>
      <c r="X5" s="107">
        <f t="shared" si="2"/>
        <v>56.91</v>
      </c>
      <c r="Y5" s="107">
        <f t="shared" si="2"/>
        <v>261.43</v>
      </c>
      <c r="Z5" s="107">
        <f t="shared" si="2"/>
        <v>29.56</v>
      </c>
      <c r="AA5" s="107">
        <f t="shared" si="2"/>
        <v>0</v>
      </c>
      <c r="AB5" s="107">
        <f t="shared" si="2"/>
        <v>18.61</v>
      </c>
      <c r="AC5" s="107">
        <f t="shared" si="2"/>
        <v>40.5</v>
      </c>
      <c r="AD5" s="107">
        <f t="shared" si="2"/>
        <v>233.67000000000002</v>
      </c>
      <c r="AE5" s="107">
        <f t="shared" si="2"/>
        <v>17.510000000000002</v>
      </c>
      <c r="AF5" s="107">
        <f t="shared" si="2"/>
        <v>54.72</v>
      </c>
      <c r="AG5" s="107">
        <f t="shared" si="2"/>
        <v>3.83</v>
      </c>
      <c r="AH5" s="109">
        <f>SUM(C3:AG4)</f>
        <v>2151.7600000000002</v>
      </c>
      <c r="AI5" s="85"/>
      <c r="AJ5" s="275"/>
      <c r="AK5" s="276" t="s">
        <v>64</v>
      </c>
    </row>
    <row r="6" spans="1:40" ht="16.5" thickBot="1" x14ac:dyDescent="0.3">
      <c r="A6" s="195"/>
      <c r="B6" s="196"/>
      <c r="C6" s="197"/>
      <c r="D6" s="196"/>
      <c r="E6" s="196"/>
      <c r="F6" s="196"/>
      <c r="G6" s="196"/>
      <c r="H6" s="278"/>
      <c r="I6" s="196"/>
      <c r="J6" s="196"/>
      <c r="K6" s="196"/>
      <c r="L6" s="196"/>
      <c r="M6" s="196"/>
      <c r="N6" s="196"/>
      <c r="O6" s="196"/>
      <c r="P6" s="196"/>
      <c r="Q6" s="196"/>
      <c r="R6" s="263"/>
      <c r="S6" s="196"/>
      <c r="T6" s="196"/>
      <c r="U6" s="196"/>
      <c r="V6" s="196"/>
      <c r="W6" s="196"/>
      <c r="X6" s="196"/>
      <c r="Y6" s="197"/>
      <c r="Z6" s="196"/>
      <c r="AA6" s="196"/>
      <c r="AB6" s="196"/>
      <c r="AC6" s="196"/>
      <c r="AD6" s="196"/>
      <c r="AE6" s="196"/>
      <c r="AF6" s="196"/>
      <c r="AG6" s="196"/>
      <c r="AH6" s="198"/>
      <c r="AJ6" s="282" t="s">
        <v>66</v>
      </c>
      <c r="AK6" s="283" t="s">
        <v>131</v>
      </c>
      <c r="AL6" s="283" t="s">
        <v>123</v>
      </c>
      <c r="AM6" s="284" t="s">
        <v>124</v>
      </c>
    </row>
    <row r="7" spans="1:40" x14ac:dyDescent="0.25">
      <c r="A7" s="89" t="s">
        <v>60</v>
      </c>
      <c r="B7" s="84" t="s">
        <v>54</v>
      </c>
      <c r="C7" s="390"/>
      <c r="D7" s="390">
        <v>13.68</v>
      </c>
      <c r="E7" s="390">
        <v>8.76</v>
      </c>
      <c r="F7" s="390"/>
      <c r="G7" s="390"/>
      <c r="H7" s="390"/>
      <c r="I7" s="390">
        <v>2.19</v>
      </c>
      <c r="J7" s="390">
        <v>16.96</v>
      </c>
      <c r="K7" s="390">
        <v>7.66</v>
      </c>
      <c r="L7" s="390"/>
      <c r="M7" s="390"/>
      <c r="N7" s="390"/>
      <c r="O7" s="390">
        <v>22.44</v>
      </c>
      <c r="P7" s="390">
        <v>39.35</v>
      </c>
      <c r="Q7" s="390">
        <v>13.68</v>
      </c>
      <c r="R7" s="390">
        <v>1.64</v>
      </c>
      <c r="S7" s="390">
        <v>35.03</v>
      </c>
      <c r="T7" s="390">
        <v>1.0900000000000001</v>
      </c>
      <c r="U7" s="390">
        <v>27.36</v>
      </c>
      <c r="V7" s="390">
        <v>24.63</v>
      </c>
      <c r="W7" s="390">
        <v>15.32</v>
      </c>
      <c r="X7" s="390">
        <v>13.68</v>
      </c>
      <c r="Y7" s="390">
        <v>6.57</v>
      </c>
      <c r="Z7" s="390">
        <v>15.33</v>
      </c>
      <c r="AA7" s="390"/>
      <c r="AB7" s="390">
        <v>16.420000000000002</v>
      </c>
      <c r="AC7" s="390">
        <v>2.19</v>
      </c>
      <c r="AD7" s="390">
        <v>10.41</v>
      </c>
      <c r="AE7" s="390">
        <v>2.19</v>
      </c>
      <c r="AF7" s="390">
        <v>16.41</v>
      </c>
      <c r="AG7" s="492">
        <v>3.83</v>
      </c>
      <c r="AH7" s="110">
        <f>SUM(C7:AG7)</f>
        <v>316.82</v>
      </c>
      <c r="AJ7" s="137" t="s">
        <v>60</v>
      </c>
      <c r="AK7" s="138" t="s">
        <v>223</v>
      </c>
      <c r="AL7" s="385">
        <f>SUM(C7:AF7)</f>
        <v>312.99</v>
      </c>
      <c r="AM7" s="386">
        <f>SUM(AG7)</f>
        <v>3.83</v>
      </c>
    </row>
    <row r="8" spans="1:40" ht="16.5" thickBot="1" x14ac:dyDescent="0.3">
      <c r="A8" s="90" t="s">
        <v>60</v>
      </c>
      <c r="B8" s="91" t="s">
        <v>55</v>
      </c>
      <c r="C8" s="470">
        <v>17.52</v>
      </c>
      <c r="D8" s="470">
        <v>39.409999999999997</v>
      </c>
      <c r="E8" s="470">
        <v>42.69</v>
      </c>
      <c r="F8" s="388"/>
      <c r="G8" s="470">
        <v>27.36</v>
      </c>
      <c r="H8" s="470">
        <v>55.27</v>
      </c>
      <c r="I8" s="470">
        <v>63.48</v>
      </c>
      <c r="J8" s="470">
        <v>27.36</v>
      </c>
      <c r="K8" s="470">
        <v>13.68</v>
      </c>
      <c r="L8" s="470">
        <v>32.840000000000003</v>
      </c>
      <c r="M8" s="470">
        <v>57.96</v>
      </c>
      <c r="N8" s="388"/>
      <c r="O8" s="470">
        <v>60.21</v>
      </c>
      <c r="P8" s="388">
        <v>0</v>
      </c>
      <c r="Q8" s="470">
        <v>266.85000000000002</v>
      </c>
      <c r="R8" s="470">
        <v>52.54</v>
      </c>
      <c r="S8" s="470">
        <v>237.91</v>
      </c>
      <c r="T8" s="470">
        <v>85.92</v>
      </c>
      <c r="U8" s="470">
        <v>60.2</v>
      </c>
      <c r="V8" s="470">
        <v>49.8</v>
      </c>
      <c r="W8" s="470">
        <v>14.23</v>
      </c>
      <c r="X8" s="470">
        <v>43.23</v>
      </c>
      <c r="Y8" s="470">
        <v>254.86</v>
      </c>
      <c r="Z8" s="470">
        <v>14.23</v>
      </c>
      <c r="AA8" s="388"/>
      <c r="AB8" s="470">
        <v>2.19</v>
      </c>
      <c r="AC8" s="481">
        <v>38.31</v>
      </c>
      <c r="AD8" s="481">
        <v>223.26</v>
      </c>
      <c r="AE8" s="481">
        <v>15.32</v>
      </c>
      <c r="AF8" s="481">
        <v>38.31</v>
      </c>
      <c r="AG8" s="481">
        <v>0</v>
      </c>
      <c r="AH8" s="111">
        <f t="shared" ref="AH8" si="3">SUM(C8:AG8)</f>
        <v>1834.94</v>
      </c>
      <c r="AJ8" s="129" t="s">
        <v>60</v>
      </c>
      <c r="AK8" s="130" t="s">
        <v>224</v>
      </c>
      <c r="AL8" s="290">
        <f>SUM(C8:AB8)-AL13</f>
        <v>1474.0900000000001</v>
      </c>
      <c r="AM8" s="291">
        <f>SUM(AC8:AG8)-AM13</f>
        <v>305.74</v>
      </c>
    </row>
    <row r="9" spans="1:40" ht="16.5" thickBot="1" x14ac:dyDescent="0.3">
      <c r="A9" s="202"/>
      <c r="B9" s="193" t="s">
        <v>65</v>
      </c>
      <c r="C9" s="107">
        <f t="shared" ref="C9:AG9" si="4">SUM(C7:C8)</f>
        <v>17.52</v>
      </c>
      <c r="D9" s="107">
        <f t="shared" si="4"/>
        <v>53.089999999999996</v>
      </c>
      <c r="E9" s="107">
        <f t="shared" si="4"/>
        <v>51.449999999999996</v>
      </c>
      <c r="F9" s="107">
        <f t="shared" si="4"/>
        <v>0</v>
      </c>
      <c r="G9" s="107">
        <f t="shared" si="4"/>
        <v>27.36</v>
      </c>
      <c r="H9" s="107">
        <f t="shared" si="4"/>
        <v>55.27</v>
      </c>
      <c r="I9" s="107">
        <f t="shared" si="4"/>
        <v>65.67</v>
      </c>
      <c r="J9" s="107">
        <f t="shared" si="4"/>
        <v>44.32</v>
      </c>
      <c r="K9" s="107">
        <f t="shared" si="4"/>
        <v>21.34</v>
      </c>
      <c r="L9" s="107">
        <f t="shared" si="4"/>
        <v>32.840000000000003</v>
      </c>
      <c r="M9" s="107">
        <f t="shared" si="4"/>
        <v>57.96</v>
      </c>
      <c r="N9" s="107">
        <f t="shared" si="4"/>
        <v>0</v>
      </c>
      <c r="O9" s="107">
        <f t="shared" si="4"/>
        <v>82.65</v>
      </c>
      <c r="P9" s="107">
        <f t="shared" si="4"/>
        <v>39.35</v>
      </c>
      <c r="Q9" s="107">
        <f t="shared" si="4"/>
        <v>280.53000000000003</v>
      </c>
      <c r="R9" s="107">
        <f t="shared" si="4"/>
        <v>54.18</v>
      </c>
      <c r="S9" s="107">
        <f t="shared" si="4"/>
        <v>272.94</v>
      </c>
      <c r="T9" s="107">
        <f t="shared" si="4"/>
        <v>87.01</v>
      </c>
      <c r="U9" s="107">
        <f t="shared" si="4"/>
        <v>87.56</v>
      </c>
      <c r="V9" s="107">
        <f t="shared" si="4"/>
        <v>74.429999999999993</v>
      </c>
      <c r="W9" s="107">
        <f t="shared" si="4"/>
        <v>29.55</v>
      </c>
      <c r="X9" s="107">
        <f t="shared" si="4"/>
        <v>56.91</v>
      </c>
      <c r="Y9" s="107">
        <f t="shared" si="4"/>
        <v>261.43</v>
      </c>
      <c r="Z9" s="107">
        <f t="shared" si="4"/>
        <v>29.560000000000002</v>
      </c>
      <c r="AA9" s="107">
        <f t="shared" si="4"/>
        <v>0</v>
      </c>
      <c r="AB9" s="107">
        <f t="shared" si="4"/>
        <v>18.610000000000003</v>
      </c>
      <c r="AC9" s="107">
        <f t="shared" si="4"/>
        <v>40.5</v>
      </c>
      <c r="AD9" s="107">
        <f t="shared" si="4"/>
        <v>233.67</v>
      </c>
      <c r="AE9" s="107">
        <f t="shared" si="4"/>
        <v>17.510000000000002</v>
      </c>
      <c r="AF9" s="107">
        <f t="shared" si="4"/>
        <v>54.72</v>
      </c>
      <c r="AG9" s="107">
        <f t="shared" si="4"/>
        <v>3.83</v>
      </c>
      <c r="AH9" s="110">
        <f>SUM(C9:AG9)</f>
        <v>2151.7599999999998</v>
      </c>
      <c r="AI9" s="59"/>
      <c r="AJ9" s="499" t="s">
        <v>76</v>
      </c>
      <c r="AK9" s="500"/>
      <c r="AL9" s="501">
        <f>SUM(AL7:AM8)</f>
        <v>2096.65</v>
      </c>
      <c r="AM9" s="502"/>
      <c r="AN9" s="273">
        <f>AL9-AH9+AL13+AM13</f>
        <v>3.1974423109204508E-13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8"/>
      <c r="AK10" s="268"/>
      <c r="AL10" s="99"/>
      <c r="AM10" s="190"/>
      <c r="AN10" s="192"/>
    </row>
    <row r="11" spans="1:40" s="99" customFormat="1" ht="16.5" thickBot="1" x14ac:dyDescent="0.3">
      <c r="A11" s="275" t="s">
        <v>225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0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0</v>
      </c>
      <c r="T11" s="114">
        <f t="shared" si="5"/>
        <v>0</v>
      </c>
      <c r="U11" s="114">
        <f t="shared" si="5"/>
        <v>0</v>
      </c>
      <c r="V11" s="114">
        <f t="shared" si="5"/>
        <v>0</v>
      </c>
      <c r="W11" s="114">
        <f t="shared" si="5"/>
        <v>0</v>
      </c>
      <c r="X11" s="114">
        <f t="shared" si="5"/>
        <v>0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0</v>
      </c>
      <c r="AI11" s="62"/>
      <c r="AJ11" s="462" t="s">
        <v>225</v>
      </c>
      <c r="AK11" s="212" t="s">
        <v>226</v>
      </c>
      <c r="AL11" s="271">
        <f>AH11</f>
        <v>0</v>
      </c>
      <c r="AM11" s="272"/>
      <c r="AN11" s="274" t="s">
        <v>129</v>
      </c>
    </row>
    <row r="12" spans="1:40" s="102" customFormat="1" ht="16.5" thickBot="1" x14ac:dyDescent="0.3">
      <c r="A12" s="224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6"/>
      <c r="AI12" s="62"/>
      <c r="AJ12" s="463"/>
      <c r="AK12" s="225"/>
      <c r="AL12" s="99"/>
      <c r="AM12" s="102">
        <f>AL9+AL11+AM11+AL13+AM13</f>
        <v>2151.7600000000002</v>
      </c>
      <c r="AN12" s="102">
        <f>AM12-AH5</f>
        <v>0</v>
      </c>
    </row>
    <row r="13" spans="1:40" s="99" customFormat="1" ht="16.5" thickBot="1" x14ac:dyDescent="0.3">
      <c r="A13" s="462" t="s">
        <v>227</v>
      </c>
      <c r="B13" s="101" t="s">
        <v>202</v>
      </c>
      <c r="C13" s="471">
        <v>0.52</v>
      </c>
      <c r="D13" s="471">
        <v>1.19</v>
      </c>
      <c r="E13" s="471">
        <v>1.29</v>
      </c>
      <c r="F13" s="464"/>
      <c r="G13" s="471">
        <v>0.82</v>
      </c>
      <c r="H13" s="471">
        <v>1.66</v>
      </c>
      <c r="I13" s="471">
        <v>1.91</v>
      </c>
      <c r="J13" s="471">
        <v>0.82</v>
      </c>
      <c r="K13" s="471">
        <v>0.41</v>
      </c>
      <c r="L13" s="471">
        <v>0.99</v>
      </c>
      <c r="M13" s="471">
        <v>1.74</v>
      </c>
      <c r="N13" s="464"/>
      <c r="O13" s="471">
        <v>1.81</v>
      </c>
      <c r="P13" s="464">
        <v>0</v>
      </c>
      <c r="Q13" s="471">
        <v>8.01</v>
      </c>
      <c r="R13" s="471">
        <v>1.58</v>
      </c>
      <c r="S13" s="471">
        <v>7.14</v>
      </c>
      <c r="T13" s="471">
        <v>2.58</v>
      </c>
      <c r="U13" s="471">
        <v>1.8</v>
      </c>
      <c r="V13" s="471">
        <v>1.5</v>
      </c>
      <c r="W13" s="471">
        <v>0.43</v>
      </c>
      <c r="X13" s="471">
        <v>1.3</v>
      </c>
      <c r="Y13" s="471">
        <v>7.65</v>
      </c>
      <c r="Z13" s="471">
        <v>0.43</v>
      </c>
      <c r="AA13" s="464"/>
      <c r="AB13" s="471">
        <v>7.0000000000000007E-2</v>
      </c>
      <c r="AC13" s="482">
        <v>1.1499999999999999</v>
      </c>
      <c r="AD13" s="482">
        <v>6.7</v>
      </c>
      <c r="AE13" s="482">
        <v>0.46</v>
      </c>
      <c r="AF13" s="482">
        <v>1.1499999999999999</v>
      </c>
      <c r="AG13" s="483">
        <v>0</v>
      </c>
      <c r="AH13" s="465">
        <f t="shared" ref="AH13" si="6">SUM(C13:AG13)</f>
        <v>55.109999999999992</v>
      </c>
      <c r="AI13" s="62"/>
      <c r="AJ13" s="462" t="s">
        <v>227</v>
      </c>
      <c r="AK13" s="212" t="s">
        <v>204</v>
      </c>
      <c r="AL13" s="271">
        <f>SUM(C13:AB13)</f>
        <v>45.649999999999991</v>
      </c>
      <c r="AM13" s="272">
        <f>SUM(AC13:AG13)</f>
        <v>9.4600000000000009</v>
      </c>
      <c r="AN13" s="274"/>
    </row>
    <row r="14" spans="1:40" s="102" customFormat="1" x14ac:dyDescent="0.25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224"/>
      <c r="AK14" s="225"/>
      <c r="AL14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3" priority="4" operator="notEqual">
      <formula>0</formula>
    </cfRule>
  </conditionalFormatting>
  <conditionalFormatting sqref="C11:AG11">
    <cfRule type="cellIs" dxfId="2" priority="3" operator="notEqual">
      <formula>0</formula>
    </cfRule>
  </conditionalFormatting>
  <conditionalFormatting sqref="AN9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topLeftCell="A14" workbookViewId="0">
      <selection activeCell="L32" sqref="L32"/>
    </sheetView>
  </sheetViews>
  <sheetFormatPr defaultColWidth="9.140625"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117</v>
      </c>
      <c r="B1" s="179" t="str">
        <f>CONCATENATE('Cash Flow'!C1, "  ",'Cash Flow'!D1)</f>
        <v>August  2022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0" t="s">
        <v>185</v>
      </c>
      <c r="B3" s="521"/>
      <c r="C3" s="522"/>
    </row>
    <row r="4" spans="1:6" s="181" customFormat="1" ht="24" customHeight="1" x14ac:dyDescent="0.25">
      <c r="A4" s="89" t="s">
        <v>30</v>
      </c>
      <c r="B4" s="84" t="s">
        <v>31</v>
      </c>
      <c r="C4" s="186">
        <f>Pool!AH4</f>
        <v>228608.2</v>
      </c>
      <c r="D4" s="514" t="s">
        <v>176</v>
      </c>
      <c r="E4" s="515"/>
      <c r="F4" s="515"/>
    </row>
    <row r="5" spans="1:6" ht="14.1" customHeight="1" x14ac:dyDescent="0.25">
      <c r="A5" s="90" t="s">
        <v>177</v>
      </c>
      <c r="B5" s="91" t="s">
        <v>63</v>
      </c>
      <c r="C5" s="187">
        <f>Pool!AH5</f>
        <v>8118</v>
      </c>
      <c r="D5" s="518"/>
      <c r="E5" s="519"/>
      <c r="F5" s="519"/>
    </row>
    <row r="6" spans="1:6" ht="14.1" customHeight="1" x14ac:dyDescent="0.25">
      <c r="A6" s="90" t="s">
        <v>155</v>
      </c>
      <c r="B6" s="91" t="s">
        <v>196</v>
      </c>
      <c r="C6" s="187">
        <f>Pool!AH7+Pool!AH8</f>
        <v>55354.83</v>
      </c>
      <c r="D6" s="516" t="s">
        <v>198</v>
      </c>
      <c r="E6" s="517"/>
      <c r="F6" s="517"/>
    </row>
    <row r="7" spans="1:6" ht="14.1" customHeight="1" x14ac:dyDescent="0.25">
      <c r="A7" s="90" t="s">
        <v>160</v>
      </c>
      <c r="B7" s="91" t="s">
        <v>161</v>
      </c>
      <c r="C7" s="187">
        <f>Pool!AH9</f>
        <v>0</v>
      </c>
      <c r="D7" s="518"/>
      <c r="E7" s="519"/>
      <c r="F7" s="519"/>
    </row>
    <row r="8" spans="1:6" ht="14.1" customHeight="1" x14ac:dyDescent="0.25">
      <c r="A8" s="90" t="s">
        <v>162</v>
      </c>
      <c r="B8" s="91" t="s">
        <v>171</v>
      </c>
      <c r="C8" s="187">
        <f>Pool!AH10</f>
        <v>0</v>
      </c>
      <c r="D8" s="518"/>
      <c r="E8" s="519"/>
      <c r="F8" s="519"/>
    </row>
    <row r="9" spans="1:6" ht="14.1" customHeight="1" x14ac:dyDescent="0.25">
      <c r="A9" s="90" t="s">
        <v>34</v>
      </c>
      <c r="B9" s="91" t="s">
        <v>35</v>
      </c>
      <c r="C9" s="187">
        <f>Pool!AH14</f>
        <v>1985</v>
      </c>
      <c r="D9" s="518"/>
      <c r="E9" s="519"/>
      <c r="F9" s="519"/>
    </row>
    <row r="10" spans="1:6" ht="14.1" customHeight="1" x14ac:dyDescent="0.25">
      <c r="A10" s="90" t="s">
        <v>36</v>
      </c>
      <c r="B10" s="91" t="s">
        <v>37</v>
      </c>
      <c r="C10" s="187">
        <f>Pool!AH15</f>
        <v>17323.04</v>
      </c>
      <c r="D10" s="518"/>
      <c r="E10" s="519"/>
      <c r="F10" s="519"/>
    </row>
    <row r="11" spans="1:6" ht="14.1" customHeight="1" x14ac:dyDescent="0.25">
      <c r="A11" s="90" t="s">
        <v>201</v>
      </c>
      <c r="B11" s="91" t="s">
        <v>112</v>
      </c>
      <c r="C11" s="187">
        <f>Pool!AH16</f>
        <v>0</v>
      </c>
      <c r="D11" s="518"/>
      <c r="E11" s="519"/>
      <c r="F11" s="519"/>
    </row>
    <row r="12" spans="1:6" ht="14.1" customHeight="1" x14ac:dyDescent="0.25">
      <c r="A12" s="90" t="s">
        <v>77</v>
      </c>
      <c r="B12" s="91" t="s">
        <v>197</v>
      </c>
      <c r="C12" s="187">
        <f>Pool!AH18</f>
        <v>2275.9899999999998</v>
      </c>
      <c r="D12" s="518" t="s">
        <v>199</v>
      </c>
      <c r="E12" s="519"/>
      <c r="F12" s="519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18"/>
      <c r="E13" s="519"/>
      <c r="F13" s="519"/>
    </row>
    <row r="14" spans="1:6" ht="14.1" customHeight="1" x14ac:dyDescent="0.25">
      <c r="A14" s="90" t="s">
        <v>40</v>
      </c>
      <c r="B14" s="91" t="s">
        <v>41</v>
      </c>
      <c r="C14" s="187">
        <f>Pool!AH21</f>
        <v>0</v>
      </c>
      <c r="D14" s="518"/>
      <c r="E14" s="519"/>
      <c r="F14" s="519"/>
    </row>
    <row r="15" spans="1:6" ht="14.1" customHeight="1" thickBot="1" x14ac:dyDescent="0.3">
      <c r="A15" s="81" t="s">
        <v>164</v>
      </c>
      <c r="B15" s="94" t="s">
        <v>165</v>
      </c>
      <c r="C15" s="188">
        <f>Pool!AH20</f>
        <v>765</v>
      </c>
      <c r="D15" s="518"/>
      <c r="E15" s="519"/>
      <c r="F15" s="519"/>
    </row>
    <row r="16" spans="1:6" ht="14.1" hidden="1" customHeight="1" x14ac:dyDescent="0.25">
      <c r="A16" s="466" t="s">
        <v>42</v>
      </c>
      <c r="B16" s="467" t="s">
        <v>43</v>
      </c>
      <c r="C16" s="468">
        <f>Pool!AH22</f>
        <v>0</v>
      </c>
      <c r="D16" s="518"/>
      <c r="E16" s="519"/>
      <c r="F16" s="519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18"/>
      <c r="E17" s="519"/>
      <c r="F17" s="519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18"/>
      <c r="E18" s="519"/>
      <c r="F18" s="519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18"/>
      <c r="E19" s="519"/>
      <c r="F19" s="519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18"/>
      <c r="E20" s="519"/>
      <c r="F20" s="519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18"/>
      <c r="E21" s="519"/>
      <c r="F21" s="519"/>
    </row>
    <row r="22" spans="1:7" ht="14.1" customHeight="1" x14ac:dyDescent="0.25">
      <c r="A22" s="189"/>
      <c r="B22" s="207" t="s">
        <v>64</v>
      </c>
      <c r="C22" s="469">
        <f>C4+C5+C6+C7+C8+C9+C10+C11+C12+C15</f>
        <v>314430.06</v>
      </c>
      <c r="D22" s="519" t="s">
        <v>174</v>
      </c>
      <c r="E22" s="519"/>
      <c r="F22" s="519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0" t="s">
        <v>178</v>
      </c>
      <c r="B24" s="521"/>
      <c r="C24" s="522"/>
    </row>
    <row r="25" spans="1:7" ht="14.1" customHeight="1" x14ac:dyDescent="0.25">
      <c r="A25" s="126" t="s">
        <v>61</v>
      </c>
      <c r="B25" s="392" t="s">
        <v>62</v>
      </c>
      <c r="C25" s="393">
        <f>Pool!AH3</f>
        <v>1681.7099999999996</v>
      </c>
      <c r="D25" s="518"/>
      <c r="E25" s="519"/>
      <c r="F25" s="519"/>
    </row>
    <row r="26" spans="1:7" ht="14.1" hidden="1" customHeight="1" x14ac:dyDescent="0.25">
      <c r="A26" s="129" t="s">
        <v>156</v>
      </c>
      <c r="B26" s="394" t="s">
        <v>157</v>
      </c>
      <c r="C26" s="396">
        <f>Pool!AH11</f>
        <v>0</v>
      </c>
      <c r="D26" s="518" t="s">
        <v>183</v>
      </c>
      <c r="E26" s="519"/>
      <c r="F26" s="519"/>
    </row>
    <row r="27" spans="1:7" ht="14.1" hidden="1" customHeight="1" x14ac:dyDescent="0.25">
      <c r="A27" s="129" t="s">
        <v>167</v>
      </c>
      <c r="B27" s="394" t="s">
        <v>168</v>
      </c>
      <c r="C27" s="396">
        <f>Pool!AH12</f>
        <v>0</v>
      </c>
      <c r="D27" s="518" t="s">
        <v>172</v>
      </c>
      <c r="E27" s="519"/>
      <c r="F27" s="519"/>
    </row>
    <row r="28" spans="1:7" ht="14.1" hidden="1" customHeight="1" x14ac:dyDescent="0.25">
      <c r="A28" s="129" t="s">
        <v>169</v>
      </c>
      <c r="B28" s="394" t="s">
        <v>170</v>
      </c>
      <c r="C28" s="396">
        <f>Pool!AH13</f>
        <v>0</v>
      </c>
      <c r="D28" s="518" t="s">
        <v>173</v>
      </c>
      <c r="E28" s="519"/>
      <c r="F28" s="519"/>
    </row>
    <row r="29" spans="1:7" ht="14.1" customHeight="1" thickBot="1" x14ac:dyDescent="0.3">
      <c r="A29" s="135" t="s">
        <v>110</v>
      </c>
      <c r="B29" s="395" t="s">
        <v>86</v>
      </c>
      <c r="C29" s="397">
        <f>Pool!AH28</f>
        <v>200</v>
      </c>
      <c r="D29" s="518" t="s">
        <v>179</v>
      </c>
      <c r="E29" s="519"/>
      <c r="F29" s="519"/>
    </row>
    <row r="30" spans="1:7" ht="14.1" customHeight="1" x14ac:dyDescent="0.25">
      <c r="A30" s="116"/>
      <c r="B30" s="398" t="s">
        <v>180</v>
      </c>
      <c r="C30" s="399">
        <f>SUM(C25:C29)</f>
        <v>1881.7099999999996</v>
      </c>
      <c r="F30" s="210"/>
    </row>
    <row r="31" spans="1:7" ht="5.0999999999999996" customHeight="1" x14ac:dyDescent="0.25">
      <c r="A31" s="116"/>
      <c r="B31" s="400"/>
      <c r="C31" s="399"/>
      <c r="F31" s="210"/>
    </row>
    <row r="32" spans="1:7" ht="14.1" customHeight="1" x14ac:dyDescent="0.25">
      <c r="A32" s="116"/>
      <c r="B32" s="401" t="s">
        <v>181</v>
      </c>
      <c r="C32" s="402">
        <f>C30+C22</f>
        <v>316311.77</v>
      </c>
      <c r="D32" s="519" t="s">
        <v>182</v>
      </c>
      <c r="E32" s="519"/>
      <c r="F32" s="519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0" t="s">
        <v>184</v>
      </c>
      <c r="B34" s="521"/>
      <c r="C34" s="522"/>
    </row>
    <row r="35" spans="1:6" ht="14.1" customHeight="1" x14ac:dyDescent="0.25">
      <c r="A35" s="126" t="s">
        <v>60</v>
      </c>
      <c r="B35" s="127" t="s">
        <v>87</v>
      </c>
      <c r="C35" s="157">
        <f>Pool!AL33</f>
        <v>51976.87000000001</v>
      </c>
    </row>
    <row r="36" spans="1:6" ht="14.1" customHeight="1" x14ac:dyDescent="0.25">
      <c r="A36" s="129" t="s">
        <v>60</v>
      </c>
      <c r="B36" s="130" t="s">
        <v>89</v>
      </c>
      <c r="C36" s="158">
        <f>Pool!AM33</f>
        <v>1268.22</v>
      </c>
    </row>
    <row r="37" spans="1:6" ht="14.1" customHeight="1" x14ac:dyDescent="0.25">
      <c r="A37" s="129" t="s">
        <v>60</v>
      </c>
      <c r="B37" s="130" t="s">
        <v>88</v>
      </c>
      <c r="C37" s="158">
        <f>Pool!AL34</f>
        <v>222157.85</v>
      </c>
    </row>
    <row r="38" spans="1:6" ht="14.1" customHeight="1" x14ac:dyDescent="0.25">
      <c r="A38" s="129" t="s">
        <v>60</v>
      </c>
      <c r="B38" s="130" t="s">
        <v>90</v>
      </c>
      <c r="C38" s="158">
        <f>Pool!AM34</f>
        <v>32610.11</v>
      </c>
      <c r="D38" s="266"/>
      <c r="E38" s="210"/>
    </row>
    <row r="39" spans="1:6" ht="14.1" customHeight="1" x14ac:dyDescent="0.25">
      <c r="A39" s="129" t="s">
        <v>60</v>
      </c>
      <c r="B39" s="130" t="s">
        <v>113</v>
      </c>
      <c r="C39" s="158">
        <f>Pool!AL35</f>
        <v>342</v>
      </c>
      <c r="D39" s="267"/>
      <c r="E39" s="210"/>
    </row>
    <row r="40" spans="1:6" ht="14.1" customHeight="1" x14ac:dyDescent="0.25">
      <c r="A40" s="129" t="s">
        <v>60</v>
      </c>
      <c r="B40" s="130" t="s">
        <v>114</v>
      </c>
      <c r="C40" s="158">
        <f>Pool!AM35</f>
        <v>0</v>
      </c>
      <c r="E40" s="210"/>
    </row>
    <row r="41" spans="1:6" ht="14.1" customHeight="1" x14ac:dyDescent="0.25">
      <c r="A41" s="129" t="s">
        <v>203</v>
      </c>
      <c r="B41" s="130" t="s">
        <v>205</v>
      </c>
      <c r="C41" s="158">
        <f>Pool!AL45</f>
        <v>6908.2199999999993</v>
      </c>
      <c r="E41" s="210"/>
    </row>
    <row r="42" spans="1:6" ht="14.1" customHeight="1" x14ac:dyDescent="0.25">
      <c r="A42" s="129" t="s">
        <v>203</v>
      </c>
      <c r="B42" s="130" t="s">
        <v>206</v>
      </c>
      <c r="C42" s="158">
        <f>Pool!AM45</f>
        <v>1011.25</v>
      </c>
      <c r="E42" s="210"/>
    </row>
    <row r="43" spans="1:6" ht="14.1" hidden="1" customHeight="1" x14ac:dyDescent="0.25">
      <c r="A43" s="129" t="s">
        <v>60</v>
      </c>
      <c r="B43" s="130" t="s">
        <v>115</v>
      </c>
      <c r="C43" s="158">
        <f>Pool!AL36</f>
        <v>0</v>
      </c>
      <c r="E43" s="210"/>
    </row>
    <row r="44" spans="1:6" ht="14.1" hidden="1" customHeight="1" x14ac:dyDescent="0.25">
      <c r="A44" s="129" t="s">
        <v>60</v>
      </c>
      <c r="B44" s="130" t="s">
        <v>116</v>
      </c>
      <c r="C44" s="158">
        <f>Pool!AM36</f>
        <v>0</v>
      </c>
      <c r="E44" s="210"/>
    </row>
    <row r="45" spans="1:6" ht="14.1" customHeight="1" x14ac:dyDescent="0.25">
      <c r="A45" s="129" t="s">
        <v>32</v>
      </c>
      <c r="B45" s="130" t="s">
        <v>91</v>
      </c>
      <c r="C45" s="158">
        <f>Pool!AL43</f>
        <v>-71.749999999999091</v>
      </c>
      <c r="D45" s="523"/>
      <c r="E45" s="524"/>
      <c r="F45" s="524"/>
    </row>
    <row r="46" spans="1:6" ht="14.1" customHeight="1" x14ac:dyDescent="0.25">
      <c r="A46" s="360" t="s">
        <v>67</v>
      </c>
      <c r="B46" s="361" t="s">
        <v>92</v>
      </c>
      <c r="C46" s="378">
        <f>Pool!AL37</f>
        <v>0</v>
      </c>
    </row>
    <row r="47" spans="1:6" ht="14.1" customHeight="1" thickBot="1" x14ac:dyDescent="0.3">
      <c r="A47" s="135" t="s">
        <v>110</v>
      </c>
      <c r="B47" s="136" t="s">
        <v>175</v>
      </c>
      <c r="C47" s="159">
        <f>Pool!AL38</f>
        <v>109</v>
      </c>
    </row>
    <row r="48" spans="1:6" ht="12.75" customHeight="1" x14ac:dyDescent="0.25">
      <c r="A48" s="205"/>
      <c r="B48" s="208" t="s">
        <v>65</v>
      </c>
      <c r="C48" s="209">
        <f>SUM(C35:C47)</f>
        <v>316311.76999999996</v>
      </c>
    </row>
    <row r="49" spans="1:5" ht="5.0999999999999996" customHeight="1" thickBot="1" x14ac:dyDescent="0.3">
      <c r="D49" s="209"/>
      <c r="E49" s="210"/>
    </row>
    <row r="50" spans="1:5" ht="14.1" customHeight="1" x14ac:dyDescent="0.25">
      <c r="B50" s="126" t="s">
        <v>57</v>
      </c>
      <c r="C50" s="236">
        <f>Pool!AJ47</f>
        <v>16138</v>
      </c>
    </row>
    <row r="51" spans="1:5" ht="14.1" customHeight="1" x14ac:dyDescent="0.25">
      <c r="B51" s="129" t="s">
        <v>58</v>
      </c>
      <c r="C51" s="237">
        <f>Pool!AJ48</f>
        <v>2963</v>
      </c>
    </row>
    <row r="52" spans="1:5" ht="14.1" customHeight="1" thickBot="1" x14ac:dyDescent="0.3">
      <c r="B52" s="238" t="s">
        <v>107</v>
      </c>
      <c r="C52" s="239">
        <f>C50+C51</f>
        <v>19101</v>
      </c>
    </row>
    <row r="53" spans="1:5" ht="5.0999999999999996" customHeight="1" thickBot="1" x14ac:dyDescent="0.3"/>
    <row r="54" spans="1:5" ht="14.1" customHeight="1" thickBot="1" x14ac:dyDescent="0.3">
      <c r="B54" s="240" t="s">
        <v>119</v>
      </c>
      <c r="C54" s="241">
        <f>Pool!AJ54</f>
        <v>14.090019039348077</v>
      </c>
    </row>
    <row r="55" spans="1:5" ht="5.0999999999999996" customHeight="1" thickBot="1" x14ac:dyDescent="0.3"/>
    <row r="56" spans="1:5" ht="14.1" customHeight="1" thickBot="1" x14ac:dyDescent="0.3">
      <c r="A56" s="264"/>
      <c r="B56" s="298" t="s">
        <v>131</v>
      </c>
      <c r="C56" s="299" t="s">
        <v>142</v>
      </c>
    </row>
    <row r="57" spans="1:5" ht="14.1" customHeight="1" x14ac:dyDescent="0.25">
      <c r="B57" s="83" t="s">
        <v>136</v>
      </c>
      <c r="C57" s="310">
        <f>Pool!AJ57</f>
        <v>97.354838709677423</v>
      </c>
    </row>
    <row r="58" spans="1:5" ht="14.1" customHeight="1" x14ac:dyDescent="0.25">
      <c r="A58" s="264"/>
      <c r="B58" s="311" t="s">
        <v>137</v>
      </c>
      <c r="C58" s="312">
        <f>Pool!AJ58</f>
        <v>88.064516129032256</v>
      </c>
    </row>
    <row r="59" spans="1:5" ht="14.1" customHeight="1" x14ac:dyDescent="0.25">
      <c r="B59" s="311" t="s">
        <v>139</v>
      </c>
      <c r="C59" s="312">
        <f>Pool!AJ59</f>
        <v>79.516129032258064</v>
      </c>
    </row>
    <row r="60" spans="1:5" ht="14.1" customHeight="1" thickBot="1" x14ac:dyDescent="0.3">
      <c r="B60" s="313" t="s">
        <v>143</v>
      </c>
      <c r="C60" s="314">
        <f>Pool!AJ60</f>
        <v>0</v>
      </c>
    </row>
    <row r="61" spans="1:5" x14ac:dyDescent="0.25">
      <c r="A61" s="375"/>
      <c r="B61" s="375"/>
      <c r="C61" s="375"/>
      <c r="E61" s="375"/>
    </row>
    <row r="62" spans="1:5" x14ac:dyDescent="0.25">
      <c r="D62" s="375"/>
    </row>
  </sheetData>
  <sheetProtection algorithmName="SHA-512" hashValue="fjife+iGUeGeo2aeGTK4QrgCJtJdcBsA4ZGH6z4kzBLFcjZe8iB7P/U4DKN5DyCReSkB7M8jae4Qnvt3/fF5KQ==" saltValue="7Dpq9P+7YYqNjIQl7gBJ1w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5:F45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17" sqref="I17"/>
    </sheetView>
  </sheetViews>
  <sheetFormatPr defaultColWidth="9.140625"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118</v>
      </c>
      <c r="B1" s="254" t="str">
        <f>CONCATENATE('Cash Flow'!C1, "  ",'Cash Flow'!D1)</f>
        <v>August  2022</v>
      </c>
    </row>
    <row r="2" spans="1:5" ht="15.75" thickBot="1" x14ac:dyDescent="0.3"/>
    <row r="3" spans="1:5" x14ac:dyDescent="0.25">
      <c r="A3" s="250" t="s">
        <v>61</v>
      </c>
      <c r="B3" s="251" t="s">
        <v>101</v>
      </c>
      <c r="C3" s="128">
        <f>'Box Canon'!AH3+'Box Canon'!AH9</f>
        <v>790.87000000000012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61701</v>
      </c>
      <c r="D4" s="116"/>
    </row>
    <row r="5" spans="1:5" x14ac:dyDescent="0.25">
      <c r="A5" s="252" t="s">
        <v>80</v>
      </c>
      <c r="B5" s="253" t="s">
        <v>102</v>
      </c>
      <c r="C5" s="131">
        <f>'Box Canon'!AH5+'Box Canon'!AH11</f>
        <v>80.010000000000005</v>
      </c>
      <c r="D5" s="116"/>
    </row>
    <row r="6" spans="1:5" x14ac:dyDescent="0.25">
      <c r="A6" s="252" t="s">
        <v>79</v>
      </c>
      <c r="B6" s="253" t="s">
        <v>103</v>
      </c>
      <c r="C6" s="131">
        <f>'Box Canon'!AH6+'Box Canon'!AH12</f>
        <v>8340.9399999999987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44.44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97</v>
      </c>
      <c r="C9" s="131">
        <f>-('Box Canon'!AH26+'Box Canon'!AH27)</f>
        <v>7.9500000000000455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70965.210000000006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93</v>
      </c>
      <c r="C13" s="128">
        <f>'Box Canon'!AL20</f>
        <v>32510.569999999989</v>
      </c>
    </row>
    <row r="14" spans="1:5" x14ac:dyDescent="0.25">
      <c r="A14" s="129" t="s">
        <v>60</v>
      </c>
      <c r="B14" s="130" t="s">
        <v>95</v>
      </c>
      <c r="C14" s="131">
        <f>'Box Canon'!AM20</f>
        <v>598.29</v>
      </c>
    </row>
    <row r="15" spans="1:5" x14ac:dyDescent="0.25">
      <c r="A15" s="129" t="s">
        <v>60</v>
      </c>
      <c r="B15" s="130" t="s">
        <v>94</v>
      </c>
      <c r="C15" s="131">
        <f>'Box Canon'!AL21</f>
        <v>31107.19</v>
      </c>
      <c r="E15" s="255">
        <f>D11-D22</f>
        <v>0</v>
      </c>
    </row>
    <row r="16" spans="1:5" x14ac:dyDescent="0.25">
      <c r="A16" s="129" t="s">
        <v>60</v>
      </c>
      <c r="B16" s="130" t="s">
        <v>96</v>
      </c>
      <c r="C16" s="131">
        <f>'Box Canon'!AM21</f>
        <v>5195.59</v>
      </c>
    </row>
    <row r="17" spans="1:4" x14ac:dyDescent="0.25">
      <c r="A17" s="129" t="s">
        <v>60</v>
      </c>
      <c r="B17" s="130" t="s">
        <v>218</v>
      </c>
      <c r="C17" s="131">
        <f>'Box Canon'!AL22</f>
        <v>430.96</v>
      </c>
    </row>
    <row r="18" spans="1:4" x14ac:dyDescent="0.25">
      <c r="A18" s="129" t="s">
        <v>60</v>
      </c>
      <c r="B18" s="130" t="s">
        <v>219</v>
      </c>
      <c r="C18" s="131">
        <f>'Box Canon'!AM22</f>
        <v>0</v>
      </c>
    </row>
    <row r="19" spans="1:4" x14ac:dyDescent="0.25">
      <c r="A19" s="129" t="s">
        <v>212</v>
      </c>
      <c r="B19" s="130" t="s">
        <v>213</v>
      </c>
      <c r="C19" s="131">
        <f>'Box Canon'!AL29</f>
        <v>962</v>
      </c>
    </row>
    <row r="20" spans="1:4" x14ac:dyDescent="0.25">
      <c r="A20" s="129" t="s">
        <v>212</v>
      </c>
      <c r="B20" s="130" t="s">
        <v>214</v>
      </c>
      <c r="C20" s="131">
        <f>'Box Canon'!AM29</f>
        <v>160.61000000000001</v>
      </c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70965.209999999992</v>
      </c>
    </row>
    <row r="23" spans="1:4" ht="15.75" thickBot="1" x14ac:dyDescent="0.3"/>
    <row r="24" spans="1:4" x14ac:dyDescent="0.25">
      <c r="B24" s="525" t="s">
        <v>57</v>
      </c>
      <c r="C24" s="526"/>
    </row>
    <row r="25" spans="1:4" x14ac:dyDescent="0.25">
      <c r="B25" s="143" t="s">
        <v>75</v>
      </c>
      <c r="C25" s="145">
        <f>'Box Canon'!AJ32</f>
        <v>8972</v>
      </c>
    </row>
    <row r="26" spans="1:4" x14ac:dyDescent="0.25">
      <c r="B26" s="143" t="s">
        <v>74</v>
      </c>
      <c r="C26" s="145">
        <f>'Box Canon'!AJ33</f>
        <v>2244</v>
      </c>
    </row>
    <row r="27" spans="1:4" x14ac:dyDescent="0.25">
      <c r="B27" s="143" t="s">
        <v>208</v>
      </c>
      <c r="C27" s="145">
        <f>'Box Canon'!AJ34</f>
        <v>269</v>
      </c>
    </row>
    <row r="28" spans="1:4" x14ac:dyDescent="0.25">
      <c r="B28" s="143" t="s">
        <v>72</v>
      </c>
      <c r="C28" s="145">
        <f>'Box Canon'!AJ35</f>
        <v>162</v>
      </c>
    </row>
    <row r="29" spans="1:4" x14ac:dyDescent="0.25">
      <c r="B29" s="143" t="s">
        <v>73</v>
      </c>
      <c r="C29" s="145">
        <f>'Box Canon'!AJ36</f>
        <v>2408</v>
      </c>
    </row>
    <row r="30" spans="1:4" x14ac:dyDescent="0.25">
      <c r="B30" s="143" t="s">
        <v>71</v>
      </c>
      <c r="C30" s="145">
        <f>'Box Canon'!AJ37</f>
        <v>373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14428</v>
      </c>
    </row>
  </sheetData>
  <sheetProtection algorithmName="SHA-512" hashValue="/2P6A7UXi/14nEZ3Hr93jSJkrajzqOY659olvJrfYQi83ZJc8Gdn6mWThlr8xPL+BVO6G09nRwVG2YyNJ9wLPw==" saltValue="FdsKLjQlxTnziID3F8jSuw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34" sqref="G34"/>
    </sheetView>
  </sheetViews>
  <sheetFormatPr defaultColWidth="9.140625" defaultRowHeight="15" x14ac:dyDescent="0.25"/>
  <cols>
    <col min="1" max="1" width="13.42578125" style="59" bestFit="1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220</v>
      </c>
      <c r="B1" s="254" t="str">
        <f>CONCATENATE('Cash Flow'!C1, " ",'Cash Flow'!D1)</f>
        <v>August 2022</v>
      </c>
    </row>
    <row r="2" spans="1:5" ht="15.75" thickBot="1" x14ac:dyDescent="0.3"/>
    <row r="3" spans="1:5" x14ac:dyDescent="0.25">
      <c r="A3" s="250" t="s">
        <v>61</v>
      </c>
      <c r="B3" s="251" t="s">
        <v>228</v>
      </c>
      <c r="C3" s="128">
        <f>'Visitor Center'!AH3</f>
        <v>185.86</v>
      </c>
      <c r="D3" s="116"/>
    </row>
    <row r="4" spans="1:5" x14ac:dyDescent="0.25">
      <c r="A4" s="252" t="s">
        <v>221</v>
      </c>
      <c r="B4" s="253" t="s">
        <v>222</v>
      </c>
      <c r="C4" s="131">
        <f>'Visitor Center'!AH4</f>
        <v>1965.8999999999999</v>
      </c>
      <c r="D4" s="116"/>
    </row>
    <row r="5" spans="1:5" x14ac:dyDescent="0.25">
      <c r="A5" s="252"/>
      <c r="B5" s="253"/>
      <c r="C5" s="131"/>
      <c r="D5" s="116"/>
    </row>
    <row r="6" spans="1:5" x14ac:dyDescent="0.25">
      <c r="A6" s="252" t="s">
        <v>225</v>
      </c>
      <c r="B6" s="130" t="s">
        <v>226</v>
      </c>
      <c r="C6" s="131">
        <f>'Visitor Center'!AL11</f>
        <v>0</v>
      </c>
      <c r="D6" s="116"/>
    </row>
    <row r="7" spans="1:5" ht="15.75" thickBot="1" x14ac:dyDescent="0.3">
      <c r="A7" s="182"/>
      <c r="B7" s="183"/>
      <c r="C7" s="184"/>
      <c r="D7" s="254"/>
      <c r="E7" s="170"/>
    </row>
    <row r="8" spans="1:5" x14ac:dyDescent="0.25">
      <c r="A8" s="116"/>
      <c r="B8" s="248" t="s">
        <v>64</v>
      </c>
      <c r="C8" s="206"/>
      <c r="D8" s="249">
        <f>SUM(C3:C6)</f>
        <v>2151.7599999999998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229</v>
      </c>
      <c r="C10" s="128">
        <f>'Visitor Center'!AL7</f>
        <v>312.99</v>
      </c>
    </row>
    <row r="11" spans="1:5" x14ac:dyDescent="0.25">
      <c r="A11" s="129" t="s">
        <v>60</v>
      </c>
      <c r="B11" s="130" t="s">
        <v>230</v>
      </c>
      <c r="C11" s="131">
        <f>'Visitor Center'!AM7</f>
        <v>3.83</v>
      </c>
    </row>
    <row r="12" spans="1:5" x14ac:dyDescent="0.25">
      <c r="A12" s="129" t="s">
        <v>60</v>
      </c>
      <c r="B12" s="130" t="s">
        <v>231</v>
      </c>
      <c r="C12" s="131">
        <f>'Visitor Center'!AL8</f>
        <v>1474.0900000000001</v>
      </c>
      <c r="E12" s="255">
        <f>D8-D17</f>
        <v>0</v>
      </c>
    </row>
    <row r="13" spans="1:5" x14ac:dyDescent="0.25">
      <c r="A13" s="129" t="s">
        <v>60</v>
      </c>
      <c r="B13" s="130" t="s">
        <v>232</v>
      </c>
      <c r="C13" s="131">
        <f>'Visitor Center'!AM8</f>
        <v>305.74</v>
      </c>
    </row>
    <row r="14" spans="1:5" x14ac:dyDescent="0.25">
      <c r="A14" s="129" t="s">
        <v>227</v>
      </c>
      <c r="B14" s="130" t="s">
        <v>233</v>
      </c>
      <c r="C14" s="131">
        <f>'Visitor Center'!AL13</f>
        <v>45.649999999999991</v>
      </c>
    </row>
    <row r="15" spans="1:5" x14ac:dyDescent="0.25">
      <c r="A15" s="129" t="s">
        <v>227</v>
      </c>
      <c r="B15" s="130" t="s">
        <v>234</v>
      </c>
      <c r="C15" s="131">
        <f>'Visitor Center'!AM13</f>
        <v>9.4600000000000009</v>
      </c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8" t="s">
        <v>65</v>
      </c>
      <c r="C17" s="206"/>
      <c r="D17" s="249">
        <f>SUM(C10:C15)</f>
        <v>2151.7600000000002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P48" sqref="P48"/>
    </sheetView>
  </sheetViews>
  <sheetFormatPr defaultColWidth="9.140625"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27"/>
      <c r="B1" s="528"/>
      <c r="C1" s="315" t="s">
        <v>144</v>
      </c>
      <c r="D1" s="316" t="s">
        <v>63</v>
      </c>
      <c r="E1" s="316" t="s">
        <v>35</v>
      </c>
      <c r="F1" s="316" t="s">
        <v>145</v>
      </c>
      <c r="G1" s="316" t="s">
        <v>112</v>
      </c>
      <c r="H1" s="316" t="s">
        <v>78</v>
      </c>
      <c r="I1" s="316" t="s">
        <v>41</v>
      </c>
      <c r="J1" s="317"/>
      <c r="K1" s="318" t="s">
        <v>135</v>
      </c>
      <c r="L1" s="318" t="s">
        <v>146</v>
      </c>
      <c r="M1" s="318" t="s">
        <v>138</v>
      </c>
      <c r="N1" s="317"/>
      <c r="O1" s="318" t="s">
        <v>147</v>
      </c>
    </row>
    <row r="2" spans="1:15" x14ac:dyDescent="0.25">
      <c r="A2" s="319">
        <f>'Cash Flow'!A8</f>
        <v>44774</v>
      </c>
      <c r="B2" s="354" t="str">
        <f>TEXT(A2,"ddd")</f>
        <v>Mon</v>
      </c>
      <c r="C2" s="320" t="e">
        <f t="array" ref="C2:C32">TRANSPOSE(Pool!C4:AG4)+TRANSPOSE(Pool!#REF!*0.5)</f>
        <v>#REF!</v>
      </c>
      <c r="D2" s="320">
        <f t="array" ref="D2:D32">TRANSPOSE(Pool!C5:AG5)</f>
        <v>430.8</v>
      </c>
      <c r="E2" s="320">
        <f t="array" ref="E2:E32">TRANSPOSE(Pool!C14:AG14)</f>
        <v>48</v>
      </c>
      <c r="F2" s="320">
        <f t="array" ref="F2:F32">TRANSPOSE(Pool!C15:AG15)</f>
        <v>473.89</v>
      </c>
      <c r="G2" s="320">
        <f t="array" ref="G2:G32">TRANSPOSE(Pool!C16:AG16)</f>
        <v>0</v>
      </c>
      <c r="H2" s="320" t="e">
        <f t="array" ref="H2:H32">TRANSPOSE(Pool!C18:AG18)+TRANSPOSE(Pool!#REF!*0.5)</f>
        <v>#REF!</v>
      </c>
      <c r="I2" s="323">
        <f t="array" ref="I2:I32">TRANSPOSE(Pool!C21:AG21)</f>
        <v>0</v>
      </c>
      <c r="J2" s="326"/>
      <c r="K2" s="327">
        <f t="array" ref="K2:K32">TRANSPOSE(Pool!C57:AG57)</f>
        <v>98</v>
      </c>
      <c r="L2" s="330">
        <f t="array" ref="L2:L32">TRANSPOSE(Pool!C58:AG58)</f>
        <v>89</v>
      </c>
      <c r="M2" s="333">
        <f t="array" ref="M2:M32">TRANSPOSE(Pool!C59:AG59)</f>
        <v>80</v>
      </c>
      <c r="N2" s="326"/>
      <c r="O2" s="337">
        <f t="array" ref="O2:O32">TRANSPOSE(Pool!C50:AG50)</f>
        <v>605</v>
      </c>
    </row>
    <row r="3" spans="1:15" x14ac:dyDescent="0.25">
      <c r="A3" s="340">
        <f t="shared" ref="A3:A32" si="0">SUM(A2+1)</f>
        <v>44775</v>
      </c>
      <c r="B3" s="355" t="str">
        <f>TEXT(A3,"ddd")</f>
        <v>Tue</v>
      </c>
      <c r="C3" s="321" t="e">
        <v>#REF!</v>
      </c>
      <c r="D3" s="321">
        <v>595.20000000000005</v>
      </c>
      <c r="E3" s="321">
        <v>183</v>
      </c>
      <c r="F3" s="321">
        <v>708.31</v>
      </c>
      <c r="G3" s="321">
        <v>0</v>
      </c>
      <c r="H3" s="321" t="e">
        <v>#REF!</v>
      </c>
      <c r="I3" s="324">
        <v>0</v>
      </c>
      <c r="J3" s="326"/>
      <c r="K3" s="328">
        <v>97</v>
      </c>
      <c r="L3" s="331">
        <v>88</v>
      </c>
      <c r="M3" s="334">
        <v>78</v>
      </c>
      <c r="N3" s="326"/>
      <c r="O3" s="338">
        <v>899</v>
      </c>
    </row>
    <row r="4" spans="1:15" x14ac:dyDescent="0.25">
      <c r="A4" s="340">
        <f t="shared" si="0"/>
        <v>44776</v>
      </c>
      <c r="B4" s="355" t="str">
        <f>TEXT(A4,"DDD")</f>
        <v>Wed</v>
      </c>
      <c r="C4" s="321" t="e">
        <v>#REF!</v>
      </c>
      <c r="D4" s="321">
        <v>462</v>
      </c>
      <c r="E4" s="321">
        <v>44</v>
      </c>
      <c r="F4" s="321">
        <v>693.13</v>
      </c>
      <c r="G4" s="321">
        <v>0</v>
      </c>
      <c r="H4" s="321" t="e">
        <v>#REF!</v>
      </c>
      <c r="I4" s="324">
        <v>0</v>
      </c>
      <c r="J4" s="326"/>
      <c r="K4" s="328">
        <v>97</v>
      </c>
      <c r="L4" s="331">
        <v>87</v>
      </c>
      <c r="M4" s="334">
        <v>79</v>
      </c>
      <c r="N4" s="326"/>
      <c r="O4" s="338">
        <v>779</v>
      </c>
    </row>
    <row r="5" spans="1:15" x14ac:dyDescent="0.25">
      <c r="A5" s="340">
        <f t="shared" si="0"/>
        <v>44777</v>
      </c>
      <c r="B5" s="355" t="str">
        <f>TEXT(A5,"ddd")</f>
        <v>Thu</v>
      </c>
      <c r="C5" s="321" t="e">
        <v>#REF!</v>
      </c>
      <c r="D5" s="321">
        <v>360</v>
      </c>
      <c r="E5" s="321">
        <v>41</v>
      </c>
      <c r="F5" s="321">
        <v>473.43</v>
      </c>
      <c r="G5" s="321">
        <v>0</v>
      </c>
      <c r="H5" s="321" t="e">
        <v>#REF!</v>
      </c>
      <c r="I5" s="324">
        <v>0</v>
      </c>
      <c r="J5" s="326"/>
      <c r="K5" s="328">
        <v>99</v>
      </c>
      <c r="L5" s="331">
        <v>89</v>
      </c>
      <c r="M5" s="334">
        <v>81</v>
      </c>
      <c r="N5" s="326"/>
      <c r="O5" s="338">
        <v>677</v>
      </c>
    </row>
    <row r="6" spans="1:15" x14ac:dyDescent="0.25">
      <c r="A6" s="340">
        <f t="shared" si="0"/>
        <v>44778</v>
      </c>
      <c r="B6" s="355" t="str">
        <f>TEXT(A6,"DDD")</f>
        <v>Fri</v>
      </c>
      <c r="C6" s="321" t="e">
        <v>#REF!</v>
      </c>
      <c r="D6" s="321">
        <v>457.2</v>
      </c>
      <c r="E6" s="321">
        <v>133</v>
      </c>
      <c r="F6" s="321">
        <v>729.44</v>
      </c>
      <c r="G6" s="321">
        <v>0</v>
      </c>
      <c r="H6" s="321" t="e">
        <v>#REF!</v>
      </c>
      <c r="I6" s="324">
        <v>0</v>
      </c>
      <c r="J6" s="326"/>
      <c r="K6" s="328">
        <v>98</v>
      </c>
      <c r="L6" s="331">
        <v>90</v>
      </c>
      <c r="M6" s="334">
        <v>80</v>
      </c>
      <c r="N6" s="326"/>
      <c r="O6" s="338">
        <v>765</v>
      </c>
    </row>
    <row r="7" spans="1:15" x14ac:dyDescent="0.25">
      <c r="A7" s="340">
        <f t="shared" si="0"/>
        <v>44779</v>
      </c>
      <c r="B7" s="355" t="str">
        <f>TEXT(A7,"ddd")</f>
        <v>Sat</v>
      </c>
      <c r="C7" s="321" t="e">
        <v>#REF!</v>
      </c>
      <c r="D7" s="321">
        <v>566.4</v>
      </c>
      <c r="E7" s="321">
        <v>28</v>
      </c>
      <c r="F7" s="321">
        <v>1080.19</v>
      </c>
      <c r="G7" s="321">
        <v>0</v>
      </c>
      <c r="H7" s="321" t="e">
        <v>#REF!</v>
      </c>
      <c r="I7" s="324">
        <v>0</v>
      </c>
      <c r="J7" s="326"/>
      <c r="K7" s="328">
        <v>98</v>
      </c>
      <c r="L7" s="331">
        <v>91</v>
      </c>
      <c r="M7" s="334">
        <v>81</v>
      </c>
      <c r="N7" s="326"/>
      <c r="O7" s="338">
        <v>1025</v>
      </c>
    </row>
    <row r="8" spans="1:15" x14ac:dyDescent="0.25">
      <c r="A8" s="340">
        <f t="shared" si="0"/>
        <v>44780</v>
      </c>
      <c r="B8" s="355" t="str">
        <f>TEXT(A8,"DDD")</f>
        <v>Sun</v>
      </c>
      <c r="C8" s="321" t="e">
        <v>#REF!</v>
      </c>
      <c r="D8" s="321">
        <v>417</v>
      </c>
      <c r="E8" s="321">
        <v>56</v>
      </c>
      <c r="F8" s="321">
        <v>703.14</v>
      </c>
      <c r="G8" s="321">
        <v>0</v>
      </c>
      <c r="H8" s="321" t="e">
        <v>#REF!</v>
      </c>
      <c r="I8" s="324">
        <v>0</v>
      </c>
      <c r="J8" s="326"/>
      <c r="K8" s="328">
        <v>98</v>
      </c>
      <c r="L8" s="331">
        <v>90</v>
      </c>
      <c r="M8" s="334">
        <v>80</v>
      </c>
      <c r="N8" s="326"/>
      <c r="O8" s="338">
        <v>832</v>
      </c>
    </row>
    <row r="9" spans="1:15" x14ac:dyDescent="0.25">
      <c r="A9" s="340">
        <f t="shared" si="0"/>
        <v>44781</v>
      </c>
      <c r="B9" s="355" t="str">
        <f>TEXT(A9,"ddd")</f>
        <v>Mon</v>
      </c>
      <c r="C9" s="321" t="e">
        <v>#REF!</v>
      </c>
      <c r="D9" s="321">
        <v>514.20000000000005</v>
      </c>
      <c r="E9" s="321">
        <v>44</v>
      </c>
      <c r="F9" s="321">
        <v>689.35</v>
      </c>
      <c r="G9" s="321">
        <v>0</v>
      </c>
      <c r="H9" s="321" t="e">
        <v>#REF!</v>
      </c>
      <c r="I9" s="324">
        <v>0</v>
      </c>
      <c r="J9" s="326"/>
      <c r="K9" s="328">
        <v>98</v>
      </c>
      <c r="L9" s="331">
        <v>88</v>
      </c>
      <c r="M9" s="335">
        <v>80</v>
      </c>
      <c r="N9" s="326"/>
      <c r="O9" s="338">
        <v>727</v>
      </c>
    </row>
    <row r="10" spans="1:15" x14ac:dyDescent="0.25">
      <c r="A10" s="340">
        <f t="shared" si="0"/>
        <v>44782</v>
      </c>
      <c r="B10" s="355" t="str">
        <f>TEXT(A10,"DDD")</f>
        <v>Tue</v>
      </c>
      <c r="C10" s="321" t="e">
        <v>#REF!</v>
      </c>
      <c r="D10" s="321">
        <v>442.8</v>
      </c>
      <c r="E10" s="321">
        <v>36</v>
      </c>
      <c r="F10" s="321">
        <v>638.01</v>
      </c>
      <c r="G10" s="321">
        <v>0</v>
      </c>
      <c r="H10" s="321" t="e">
        <v>#REF!</v>
      </c>
      <c r="I10" s="324">
        <v>0</v>
      </c>
      <c r="J10" s="326"/>
      <c r="K10" s="328">
        <v>98</v>
      </c>
      <c r="L10" s="331">
        <v>89</v>
      </c>
      <c r="M10" s="334">
        <v>80</v>
      </c>
      <c r="N10" s="326"/>
      <c r="O10" s="338">
        <v>703</v>
      </c>
    </row>
    <row r="11" spans="1:15" x14ac:dyDescent="0.25">
      <c r="A11" s="340">
        <f t="shared" si="0"/>
        <v>44783</v>
      </c>
      <c r="B11" s="355" t="str">
        <f>TEXT(A11,"ddd")</f>
        <v>Wed</v>
      </c>
      <c r="C11" s="321" t="e">
        <v>#REF!</v>
      </c>
      <c r="D11" s="321">
        <v>340.2</v>
      </c>
      <c r="E11" s="321">
        <v>217</v>
      </c>
      <c r="F11" s="321">
        <v>586.20000000000005</v>
      </c>
      <c r="G11" s="321">
        <v>0</v>
      </c>
      <c r="H11" s="321" t="e">
        <v>#REF!</v>
      </c>
      <c r="I11" s="324">
        <v>0</v>
      </c>
      <c r="J11" s="326"/>
      <c r="K11" s="328">
        <v>98</v>
      </c>
      <c r="L11" s="331">
        <v>88</v>
      </c>
      <c r="M11" s="334">
        <v>80</v>
      </c>
      <c r="N11" s="326"/>
      <c r="O11" s="338">
        <v>675</v>
      </c>
    </row>
    <row r="12" spans="1:15" x14ac:dyDescent="0.25">
      <c r="A12" s="340">
        <f t="shared" si="0"/>
        <v>44784</v>
      </c>
      <c r="B12" s="355" t="str">
        <f>TEXT(A12,"DDD")</f>
        <v>Thu</v>
      </c>
      <c r="C12" s="321" t="e">
        <v>#REF!</v>
      </c>
      <c r="D12" s="321">
        <v>376.2</v>
      </c>
      <c r="E12" s="321">
        <v>32</v>
      </c>
      <c r="F12" s="321">
        <v>458.69</v>
      </c>
      <c r="G12" s="321">
        <v>0</v>
      </c>
      <c r="H12" s="321" t="e">
        <v>#REF!</v>
      </c>
      <c r="I12" s="324">
        <v>0</v>
      </c>
      <c r="J12" s="326"/>
      <c r="K12" s="328">
        <v>97</v>
      </c>
      <c r="L12" s="331">
        <v>88</v>
      </c>
      <c r="M12" s="334">
        <v>79</v>
      </c>
      <c r="N12" s="326"/>
      <c r="O12" s="338">
        <v>536</v>
      </c>
    </row>
    <row r="13" spans="1:15" x14ac:dyDescent="0.25">
      <c r="A13" s="340">
        <f t="shared" si="0"/>
        <v>44785</v>
      </c>
      <c r="B13" s="355" t="str">
        <f>TEXT(A13,"ddd")</f>
        <v>Fri</v>
      </c>
      <c r="C13" s="321" t="e">
        <v>#REF!</v>
      </c>
      <c r="D13" s="321">
        <v>387</v>
      </c>
      <c r="E13" s="321">
        <v>72</v>
      </c>
      <c r="F13" s="321">
        <v>742.05</v>
      </c>
      <c r="G13" s="321">
        <v>0</v>
      </c>
      <c r="H13" s="321" t="e">
        <v>#REF!</v>
      </c>
      <c r="I13" s="324">
        <v>0</v>
      </c>
      <c r="J13" s="326"/>
      <c r="K13" s="328">
        <v>98</v>
      </c>
      <c r="L13" s="331">
        <v>89</v>
      </c>
      <c r="M13" s="334">
        <v>80</v>
      </c>
      <c r="N13" s="326"/>
      <c r="O13" s="338">
        <v>804</v>
      </c>
    </row>
    <row r="14" spans="1:15" x14ac:dyDescent="0.25">
      <c r="A14" s="340">
        <f t="shared" si="0"/>
        <v>44786</v>
      </c>
      <c r="B14" s="355" t="str">
        <f>TEXT(A14,"DDD")</f>
        <v>Sat</v>
      </c>
      <c r="C14" s="321" t="e">
        <v>#REF!</v>
      </c>
      <c r="D14" s="321">
        <v>265.8</v>
      </c>
      <c r="E14" s="321">
        <v>44</v>
      </c>
      <c r="F14" s="321">
        <v>816.7</v>
      </c>
      <c r="G14" s="321">
        <v>0</v>
      </c>
      <c r="H14" s="321" t="e">
        <v>#REF!</v>
      </c>
      <c r="I14" s="324">
        <v>0</v>
      </c>
      <c r="J14" s="326"/>
      <c r="K14" s="328">
        <v>98</v>
      </c>
      <c r="L14" s="331">
        <v>90</v>
      </c>
      <c r="M14" s="334">
        <v>80</v>
      </c>
      <c r="N14" s="326"/>
      <c r="O14" s="338">
        <v>938</v>
      </c>
    </row>
    <row r="15" spans="1:15" x14ac:dyDescent="0.25">
      <c r="A15" s="340">
        <f t="shared" si="0"/>
        <v>44787</v>
      </c>
      <c r="B15" s="355" t="str">
        <f>TEXT(A15,"ddd")</f>
        <v>Sun</v>
      </c>
      <c r="C15" s="321" t="e">
        <v>#REF!</v>
      </c>
      <c r="D15" s="321">
        <v>478.8</v>
      </c>
      <c r="E15" s="321">
        <v>36</v>
      </c>
      <c r="F15" s="321">
        <v>1087.73</v>
      </c>
      <c r="G15" s="321">
        <v>0</v>
      </c>
      <c r="H15" s="321" t="e">
        <v>#REF!</v>
      </c>
      <c r="I15" s="324">
        <v>0</v>
      </c>
      <c r="J15" s="326"/>
      <c r="K15" s="328">
        <v>97</v>
      </c>
      <c r="L15" s="331">
        <v>91</v>
      </c>
      <c r="M15" s="334">
        <v>80</v>
      </c>
      <c r="N15" s="326"/>
      <c r="O15" s="338">
        <v>859</v>
      </c>
    </row>
    <row r="16" spans="1:15" x14ac:dyDescent="0.25">
      <c r="A16" s="340">
        <f t="shared" si="0"/>
        <v>44788</v>
      </c>
      <c r="B16" s="355" t="str">
        <f>TEXT(A16,"DDD")</f>
        <v>Mon</v>
      </c>
      <c r="C16" s="321" t="e">
        <v>#REF!</v>
      </c>
      <c r="D16" s="321">
        <v>178.2</v>
      </c>
      <c r="E16" s="321">
        <v>20</v>
      </c>
      <c r="F16" s="321">
        <v>385.19</v>
      </c>
      <c r="G16" s="321">
        <v>0</v>
      </c>
      <c r="H16" s="321" t="e">
        <v>#REF!</v>
      </c>
      <c r="I16" s="324">
        <v>0</v>
      </c>
      <c r="J16" s="326"/>
      <c r="K16" s="328">
        <v>98</v>
      </c>
      <c r="L16" s="331">
        <v>88</v>
      </c>
      <c r="M16" s="334">
        <v>81</v>
      </c>
      <c r="N16" s="326"/>
      <c r="O16" s="338">
        <v>445</v>
      </c>
    </row>
    <row r="17" spans="1:15" x14ac:dyDescent="0.25">
      <c r="A17" s="340">
        <f t="shared" si="0"/>
        <v>44789</v>
      </c>
      <c r="B17" s="355" t="str">
        <f>TEXT(A17,"ddd")</f>
        <v>Tue</v>
      </c>
      <c r="C17" s="321" t="e">
        <v>#REF!</v>
      </c>
      <c r="D17" s="321">
        <v>135</v>
      </c>
      <c r="E17" s="321">
        <v>172</v>
      </c>
      <c r="F17" s="321">
        <v>250.67</v>
      </c>
      <c r="G17" s="321">
        <v>0</v>
      </c>
      <c r="H17" s="321" t="e">
        <v>#REF!</v>
      </c>
      <c r="I17" s="324">
        <v>0</v>
      </c>
      <c r="J17" s="326"/>
      <c r="K17" s="328">
        <v>97</v>
      </c>
      <c r="L17" s="331">
        <v>88</v>
      </c>
      <c r="M17" s="334">
        <v>80</v>
      </c>
      <c r="N17" s="326"/>
      <c r="O17" s="338">
        <v>398</v>
      </c>
    </row>
    <row r="18" spans="1:15" x14ac:dyDescent="0.25">
      <c r="A18" s="340">
        <f t="shared" si="0"/>
        <v>44790</v>
      </c>
      <c r="B18" s="355" t="str">
        <f>TEXT(A18,"DDD")</f>
        <v>Wed</v>
      </c>
      <c r="C18" s="321" t="e">
        <v>#REF!</v>
      </c>
      <c r="D18" s="321">
        <v>168</v>
      </c>
      <c r="E18" s="321">
        <v>28</v>
      </c>
      <c r="F18" s="321">
        <v>374.19</v>
      </c>
      <c r="G18" s="321">
        <v>0</v>
      </c>
      <c r="H18" s="321" t="e">
        <v>#REF!</v>
      </c>
      <c r="I18" s="324">
        <v>0</v>
      </c>
      <c r="J18" s="326"/>
      <c r="K18" s="328">
        <v>95</v>
      </c>
      <c r="L18" s="331">
        <v>83</v>
      </c>
      <c r="M18" s="334">
        <v>80</v>
      </c>
      <c r="N18" s="326"/>
      <c r="O18" s="338">
        <v>455</v>
      </c>
    </row>
    <row r="19" spans="1:15" x14ac:dyDescent="0.25">
      <c r="A19" s="340">
        <f t="shared" si="0"/>
        <v>44791</v>
      </c>
      <c r="B19" s="355" t="str">
        <f>TEXT(A19,"ddd")</f>
        <v>Thu</v>
      </c>
      <c r="C19" s="321" t="e">
        <v>#REF!</v>
      </c>
      <c r="D19" s="321">
        <v>207</v>
      </c>
      <c r="E19" s="321">
        <v>86</v>
      </c>
      <c r="F19" s="321">
        <v>626.86</v>
      </c>
      <c r="G19" s="321">
        <v>0</v>
      </c>
      <c r="H19" s="321" t="e">
        <v>#REF!</v>
      </c>
      <c r="I19" s="324">
        <v>0</v>
      </c>
      <c r="J19" s="326"/>
      <c r="K19" s="328">
        <v>98</v>
      </c>
      <c r="L19" s="331">
        <v>89</v>
      </c>
      <c r="M19" s="334">
        <v>80</v>
      </c>
      <c r="N19" s="326"/>
      <c r="O19" s="338">
        <v>582</v>
      </c>
    </row>
    <row r="20" spans="1:15" x14ac:dyDescent="0.25">
      <c r="A20" s="340">
        <f t="shared" si="0"/>
        <v>44792</v>
      </c>
      <c r="B20" s="355" t="str">
        <f>TEXT(A20,"DDD")</f>
        <v>Fri</v>
      </c>
      <c r="C20" s="321" t="e">
        <v>#REF!</v>
      </c>
      <c r="D20" s="321">
        <v>48</v>
      </c>
      <c r="E20" s="321">
        <v>110</v>
      </c>
      <c r="F20" s="321">
        <v>363.06</v>
      </c>
      <c r="G20" s="321">
        <v>0</v>
      </c>
      <c r="H20" s="321" t="e">
        <v>#REF!</v>
      </c>
      <c r="I20" s="324">
        <v>0</v>
      </c>
      <c r="J20" s="326"/>
      <c r="K20" s="328">
        <v>98</v>
      </c>
      <c r="L20" s="331">
        <v>90</v>
      </c>
      <c r="M20" s="334">
        <v>81</v>
      </c>
      <c r="N20" s="326"/>
      <c r="O20" s="338">
        <v>378</v>
      </c>
    </row>
    <row r="21" spans="1:15" x14ac:dyDescent="0.25">
      <c r="A21" s="340">
        <f t="shared" si="0"/>
        <v>44793</v>
      </c>
      <c r="B21" s="355" t="str">
        <f>TEXT(A21,"ddd")</f>
        <v>Sat</v>
      </c>
      <c r="C21" s="321" t="e">
        <v>#REF!</v>
      </c>
      <c r="D21" s="321">
        <v>207</v>
      </c>
      <c r="E21" s="321">
        <v>24</v>
      </c>
      <c r="F21" s="321">
        <v>749.97</v>
      </c>
      <c r="G21" s="321">
        <v>0</v>
      </c>
      <c r="H21" s="321" t="e">
        <v>#REF!</v>
      </c>
      <c r="I21" s="324">
        <v>0</v>
      </c>
      <c r="J21" s="326"/>
      <c r="K21" s="328">
        <v>97</v>
      </c>
      <c r="L21" s="331">
        <v>88</v>
      </c>
      <c r="M21" s="334">
        <v>80</v>
      </c>
      <c r="N21" s="326"/>
      <c r="O21" s="338">
        <v>744</v>
      </c>
    </row>
    <row r="22" spans="1:15" x14ac:dyDescent="0.25">
      <c r="A22" s="340">
        <f t="shared" si="0"/>
        <v>44794</v>
      </c>
      <c r="B22" s="355" t="str">
        <f>TEXT(A22,"DDD")</f>
        <v>Sun</v>
      </c>
      <c r="C22" s="321" t="e">
        <v>#REF!</v>
      </c>
      <c r="D22" s="321">
        <v>165</v>
      </c>
      <c r="E22" s="321">
        <v>20</v>
      </c>
      <c r="F22" s="321">
        <v>562.02</v>
      </c>
      <c r="G22" s="321">
        <v>0</v>
      </c>
      <c r="H22" s="321" t="e">
        <v>#REF!</v>
      </c>
      <c r="I22" s="324">
        <v>0</v>
      </c>
      <c r="J22" s="326"/>
      <c r="K22" s="328">
        <v>97</v>
      </c>
      <c r="L22" s="331">
        <v>90</v>
      </c>
      <c r="M22" s="334">
        <v>80</v>
      </c>
      <c r="N22" s="326"/>
      <c r="O22" s="338">
        <v>571</v>
      </c>
    </row>
    <row r="23" spans="1:15" x14ac:dyDescent="0.25">
      <c r="A23" s="340">
        <f t="shared" si="0"/>
        <v>44795</v>
      </c>
      <c r="B23" s="355" t="str">
        <f>TEXT(A23,"ddd")</f>
        <v>Mon</v>
      </c>
      <c r="C23" s="321" t="e">
        <v>#REF!</v>
      </c>
      <c r="D23" s="321">
        <v>78</v>
      </c>
      <c r="E23" s="321">
        <v>136</v>
      </c>
      <c r="F23" s="321">
        <v>304.44</v>
      </c>
      <c r="G23" s="321">
        <v>0</v>
      </c>
      <c r="H23" s="321" t="e">
        <v>#REF!</v>
      </c>
      <c r="I23" s="324">
        <v>0</v>
      </c>
      <c r="J23" s="326"/>
      <c r="K23" s="328">
        <v>98</v>
      </c>
      <c r="L23" s="331">
        <v>89</v>
      </c>
      <c r="M23" s="334">
        <v>80</v>
      </c>
      <c r="N23" s="326"/>
      <c r="O23" s="338">
        <v>356</v>
      </c>
    </row>
    <row r="24" spans="1:15" x14ac:dyDescent="0.25">
      <c r="A24" s="340">
        <f t="shared" si="0"/>
        <v>44796</v>
      </c>
      <c r="B24" s="355" t="str">
        <f>TEXT(A24,"DDD")</f>
        <v>Tue</v>
      </c>
      <c r="C24" s="321" t="e">
        <v>#REF!</v>
      </c>
      <c r="D24" s="321">
        <v>141</v>
      </c>
      <c r="E24" s="321">
        <v>24</v>
      </c>
      <c r="F24" s="321">
        <v>410.22</v>
      </c>
      <c r="G24" s="321">
        <v>0</v>
      </c>
      <c r="H24" s="321" t="e">
        <v>#REF!</v>
      </c>
      <c r="I24" s="324">
        <v>0</v>
      </c>
      <c r="J24" s="326"/>
      <c r="K24" s="328">
        <v>97</v>
      </c>
      <c r="L24" s="331">
        <v>89</v>
      </c>
      <c r="M24" s="334">
        <v>80</v>
      </c>
      <c r="N24" s="326"/>
      <c r="O24" s="338">
        <v>462</v>
      </c>
    </row>
    <row r="25" spans="1:15" x14ac:dyDescent="0.25">
      <c r="A25" s="340">
        <f t="shared" si="0"/>
        <v>44797</v>
      </c>
      <c r="B25" s="355" t="str">
        <f>TEXT(A25,"ddd")</f>
        <v>Wed</v>
      </c>
      <c r="C25" s="321" t="e">
        <v>#REF!</v>
      </c>
      <c r="D25" s="321">
        <v>90</v>
      </c>
      <c r="E25" s="321">
        <v>45</v>
      </c>
      <c r="F25" s="321">
        <v>378.53</v>
      </c>
      <c r="G25" s="321">
        <v>0</v>
      </c>
      <c r="H25" s="321" t="e">
        <v>#REF!</v>
      </c>
      <c r="I25" s="324">
        <v>0</v>
      </c>
      <c r="J25" s="326"/>
      <c r="K25" s="328">
        <v>98</v>
      </c>
      <c r="L25" s="331">
        <v>83</v>
      </c>
      <c r="M25" s="334">
        <v>78</v>
      </c>
      <c r="N25" s="326"/>
      <c r="O25" s="338">
        <v>401</v>
      </c>
    </row>
    <row r="26" spans="1:15" x14ac:dyDescent="0.25">
      <c r="A26" s="340">
        <f t="shared" si="0"/>
        <v>44798</v>
      </c>
      <c r="B26" s="355" t="str">
        <f>TEXT(A26,"DDD")</f>
        <v>Thu</v>
      </c>
      <c r="C26" s="321" t="e">
        <v>#REF!</v>
      </c>
      <c r="D26" s="321">
        <v>30</v>
      </c>
      <c r="E26" s="321">
        <v>49</v>
      </c>
      <c r="F26" s="321">
        <v>278.42</v>
      </c>
      <c r="G26" s="321">
        <v>0</v>
      </c>
      <c r="H26" s="321" t="e">
        <v>#REF!</v>
      </c>
      <c r="I26" s="324">
        <v>0</v>
      </c>
      <c r="J26" s="326"/>
      <c r="K26" s="328">
        <v>98</v>
      </c>
      <c r="L26" s="331">
        <v>90</v>
      </c>
      <c r="M26" s="334">
        <v>79</v>
      </c>
      <c r="N26" s="326"/>
      <c r="O26" s="338">
        <v>399</v>
      </c>
    </row>
    <row r="27" spans="1:15" x14ac:dyDescent="0.25">
      <c r="A27" s="340">
        <f t="shared" si="0"/>
        <v>44799</v>
      </c>
      <c r="B27" s="355" t="str">
        <f>TEXT(A27,"ddd")</f>
        <v>Fri</v>
      </c>
      <c r="C27" s="321" t="e">
        <v>#REF!</v>
      </c>
      <c r="D27" s="321">
        <v>42</v>
      </c>
      <c r="E27" s="321">
        <v>64</v>
      </c>
      <c r="F27" s="321">
        <v>238.91</v>
      </c>
      <c r="G27" s="321">
        <v>0</v>
      </c>
      <c r="H27" s="321" t="e">
        <v>#REF!</v>
      </c>
      <c r="I27" s="324">
        <v>0</v>
      </c>
      <c r="J27" s="326"/>
      <c r="K27" s="328">
        <v>98</v>
      </c>
      <c r="L27" s="331">
        <v>85</v>
      </c>
      <c r="M27" s="334">
        <v>79</v>
      </c>
      <c r="N27" s="326"/>
      <c r="O27" s="338">
        <v>357</v>
      </c>
    </row>
    <row r="28" spans="1:15" x14ac:dyDescent="0.25">
      <c r="A28" s="340">
        <f t="shared" si="0"/>
        <v>44800</v>
      </c>
      <c r="B28" s="355" t="str">
        <f>TEXT(A28,"DDD")</f>
        <v>Sat</v>
      </c>
      <c r="C28" s="321" t="e">
        <v>#REF!</v>
      </c>
      <c r="D28" s="321">
        <v>397.8</v>
      </c>
      <c r="E28" s="321">
        <v>16</v>
      </c>
      <c r="F28" s="321">
        <v>1004.44</v>
      </c>
      <c r="G28" s="321">
        <v>0</v>
      </c>
      <c r="H28" s="321" t="e">
        <v>#REF!</v>
      </c>
      <c r="I28" s="324">
        <v>0</v>
      </c>
      <c r="J28" s="326"/>
      <c r="K28" s="328">
        <v>98</v>
      </c>
      <c r="L28" s="331">
        <v>88</v>
      </c>
      <c r="M28" s="334">
        <v>80</v>
      </c>
      <c r="N28" s="326"/>
      <c r="O28" s="338">
        <v>988</v>
      </c>
    </row>
    <row r="29" spans="1:15" x14ac:dyDescent="0.25">
      <c r="A29" s="340">
        <f t="shared" si="0"/>
        <v>44801</v>
      </c>
      <c r="B29" s="355" t="str">
        <f>TEXT(A29,"ddd")</f>
        <v>Sun</v>
      </c>
      <c r="C29" s="321" t="e">
        <v>#REF!</v>
      </c>
      <c r="D29" s="321">
        <v>137.4</v>
      </c>
      <c r="E29" s="321">
        <v>8</v>
      </c>
      <c r="F29" s="321">
        <v>451.16</v>
      </c>
      <c r="G29" s="321">
        <v>0</v>
      </c>
      <c r="H29" s="321" t="e">
        <v>#REF!</v>
      </c>
      <c r="I29" s="324">
        <v>0</v>
      </c>
      <c r="J29" s="326"/>
      <c r="K29" s="328">
        <v>96</v>
      </c>
      <c r="L29" s="331">
        <v>89</v>
      </c>
      <c r="M29" s="334">
        <v>79</v>
      </c>
      <c r="N29" s="326"/>
      <c r="O29" s="338">
        <v>606</v>
      </c>
    </row>
    <row r="30" spans="1:15" x14ac:dyDescent="0.25">
      <c r="A30" s="340">
        <f t="shared" si="0"/>
        <v>44802</v>
      </c>
      <c r="B30" s="355" t="str">
        <f>TEXT(A30,"ddd")</f>
        <v>Mon</v>
      </c>
      <c r="C30" s="321" t="e">
        <v>#REF!</v>
      </c>
      <c r="D30" s="321">
        <v>0</v>
      </c>
      <c r="E30" s="321">
        <v>16</v>
      </c>
      <c r="F30" s="321">
        <v>437.93</v>
      </c>
      <c r="G30" s="321">
        <v>0</v>
      </c>
      <c r="H30" s="321" t="e">
        <v>#REF!</v>
      </c>
      <c r="I30" s="324">
        <v>0</v>
      </c>
      <c r="J30" s="326"/>
      <c r="K30" s="328">
        <v>94</v>
      </c>
      <c r="L30" s="331">
        <v>87</v>
      </c>
      <c r="M30" s="334">
        <v>77</v>
      </c>
      <c r="N30" s="326"/>
      <c r="O30" s="338">
        <v>429</v>
      </c>
    </row>
    <row r="31" spans="1:15" x14ac:dyDescent="0.25">
      <c r="A31" s="340">
        <f t="shared" si="0"/>
        <v>44803</v>
      </c>
      <c r="B31" s="355" t="str">
        <f>TEXT(A31,"ddd")</f>
        <v>Tue</v>
      </c>
      <c r="C31" s="321" t="e">
        <v>#REF!</v>
      </c>
      <c r="D31" s="321">
        <v>0</v>
      </c>
      <c r="E31" s="321">
        <v>97</v>
      </c>
      <c r="F31" s="321">
        <v>373.69</v>
      </c>
      <c r="G31" s="321">
        <v>0</v>
      </c>
      <c r="H31" s="321" t="e">
        <v>#REF!</v>
      </c>
      <c r="I31" s="324">
        <v>0</v>
      </c>
      <c r="J31" s="326"/>
      <c r="K31" s="328">
        <v>95</v>
      </c>
      <c r="L31" s="331">
        <v>84</v>
      </c>
      <c r="M31" s="334">
        <v>76</v>
      </c>
      <c r="N31" s="326"/>
      <c r="O31" s="338">
        <v>402</v>
      </c>
    </row>
    <row r="32" spans="1:15" ht="15.75" thickBot="1" x14ac:dyDescent="0.3">
      <c r="A32" s="341">
        <f t="shared" si="0"/>
        <v>44804</v>
      </c>
      <c r="B32" s="356" t="str">
        <f>TEXT(A32,"ddd")</f>
        <v>Wed</v>
      </c>
      <c r="C32" s="322" t="e">
        <v>#REF!</v>
      </c>
      <c r="D32" s="322">
        <v>0</v>
      </c>
      <c r="E32" s="322">
        <v>56</v>
      </c>
      <c r="F32" s="322">
        <v>253.08</v>
      </c>
      <c r="G32" s="322">
        <v>0</v>
      </c>
      <c r="H32" s="322" t="e">
        <v>#REF!</v>
      </c>
      <c r="I32" s="325">
        <v>0</v>
      </c>
      <c r="J32" s="326"/>
      <c r="K32" s="329">
        <v>97</v>
      </c>
      <c r="L32" s="332">
        <v>83</v>
      </c>
      <c r="M32" s="336">
        <v>77</v>
      </c>
      <c r="N32" s="326"/>
      <c r="O32" s="339">
        <v>304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2" t="s">
        <v>76</v>
      </c>
      <c r="B34" s="343"/>
      <c r="C34" s="344" t="e">
        <f t="shared" ref="C34:I34" si="1">SUM(C2:C33)</f>
        <v>#REF!</v>
      </c>
      <c r="D34" s="344">
        <f t="shared" si="1"/>
        <v>8118</v>
      </c>
      <c r="E34" s="344">
        <f t="shared" si="1"/>
        <v>1985</v>
      </c>
      <c r="F34" s="344">
        <f t="shared" si="1"/>
        <v>17323.04</v>
      </c>
      <c r="G34" s="344">
        <f t="shared" si="1"/>
        <v>0</v>
      </c>
      <c r="H34" s="344" t="e">
        <f t="shared" si="1"/>
        <v>#REF!</v>
      </c>
      <c r="I34" s="345">
        <f t="shared" si="1"/>
        <v>0</v>
      </c>
      <c r="J34" s="60"/>
      <c r="K34" s="346">
        <f>Pool!AJ57</f>
        <v>97.354838709677423</v>
      </c>
      <c r="L34" s="347">
        <f>Pool!AJ58</f>
        <v>88.064516129032256</v>
      </c>
      <c r="M34" s="348">
        <f>Pool!AJ59</f>
        <v>79.516129032258064</v>
      </c>
      <c r="N34" s="102"/>
      <c r="O34" s="349">
        <f>SUM(O2:O33)</f>
        <v>19101</v>
      </c>
    </row>
    <row r="37" spans="1:15" x14ac:dyDescent="0.25">
      <c r="A37" s="350" t="s">
        <v>148</v>
      </c>
      <c r="B37" s="350"/>
      <c r="C37" s="350"/>
      <c r="D37" s="350"/>
      <c r="E37" s="350"/>
    </row>
    <row r="38" spans="1:15" x14ac:dyDescent="0.25">
      <c r="A38" s="350"/>
      <c r="B38" s="350"/>
      <c r="C38" s="350" t="s">
        <v>149</v>
      </c>
      <c r="D38" s="350">
        <v>100</v>
      </c>
      <c r="E38" s="350"/>
    </row>
    <row r="39" spans="1:15" x14ac:dyDescent="0.25">
      <c r="A39" s="350"/>
      <c r="B39" s="351" t="s">
        <v>150</v>
      </c>
      <c r="C39" s="351" t="s">
        <v>151</v>
      </c>
      <c r="D39" s="351">
        <v>-10</v>
      </c>
      <c r="E39" s="350"/>
    </row>
    <row r="40" spans="1:15" x14ac:dyDescent="0.25">
      <c r="A40" s="350"/>
      <c r="B40" s="350"/>
      <c r="C40" s="350"/>
      <c r="D40" s="350">
        <v>90</v>
      </c>
      <c r="E40" s="350"/>
    </row>
    <row r="41" spans="1:15" x14ac:dyDescent="0.25">
      <c r="A41" s="350"/>
      <c r="B41" s="352" t="s">
        <v>152</v>
      </c>
      <c r="C41" s="352" t="s">
        <v>58</v>
      </c>
      <c r="D41" s="352">
        <v>20</v>
      </c>
      <c r="E41" s="350"/>
    </row>
    <row r="42" spans="1:15" x14ac:dyDescent="0.25">
      <c r="A42" s="350"/>
      <c r="B42" s="350"/>
      <c r="C42" s="350"/>
      <c r="D42" s="353">
        <v>110</v>
      </c>
      <c r="E42" s="353" t="s">
        <v>107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Box Canon</vt:lpstr>
      <vt:lpstr>Visitor Center</vt:lpstr>
      <vt:lpstr>POOL JE</vt:lpstr>
      <vt:lpstr>Box Cañon JE</vt:lpstr>
      <vt:lpstr>Visitor Center JE</vt:lpstr>
      <vt:lpstr>Pool Stats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2022-09-08T19:52:01Z</cp:lastPrinted>
  <dcterms:created xsi:type="dcterms:W3CDTF">2017-08-14T15:26:56Z</dcterms:created>
  <dcterms:modified xsi:type="dcterms:W3CDTF">2022-12-08T18:02:52Z</dcterms:modified>
</cp:coreProperties>
</file>