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3\"/>
    </mc:Choice>
  </mc:AlternateContent>
  <bookViews>
    <workbookView xWindow="0" yWindow="0" windowWidth="20490" windowHeight="8340" activeTab="5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3" l="1"/>
  <c r="AF4" i="3"/>
  <c r="W4" i="3"/>
  <c r="M4" i="3"/>
  <c r="AM15" i="10" l="1"/>
  <c r="AM10" i="10" s="1"/>
  <c r="AL15" i="10"/>
  <c r="AL10" i="10" s="1"/>
  <c r="AL45" i="3"/>
  <c r="AL34" i="3" s="1"/>
  <c r="AM45" i="3"/>
  <c r="AM33" i="3"/>
  <c r="AL33" i="3"/>
  <c r="AH33" i="3"/>
  <c r="AL21" i="9"/>
  <c r="AM29" i="9"/>
  <c r="AM21" i="9" s="1"/>
  <c r="AL29" i="9"/>
  <c r="AM9" i="10" l="1"/>
  <c r="AL9" i="10"/>
  <c r="AL20" i="9"/>
  <c r="AM20" i="9"/>
  <c r="AM34" i="3"/>
  <c r="AG44" i="9"/>
  <c r="AG43" i="9"/>
  <c r="AG41" i="9"/>
  <c r="AG40" i="9"/>
  <c r="AG39" i="9"/>
  <c r="AF43" i="9" l="1"/>
  <c r="AF40" i="9"/>
  <c r="AF39" i="9"/>
  <c r="AE44" i="9"/>
  <c r="AE43" i="9"/>
  <c r="AE41" i="9"/>
  <c r="AE40" i="9"/>
  <c r="AE39" i="9"/>
  <c r="AD44" i="9"/>
  <c r="AD43" i="9"/>
  <c r="AD40" i="9"/>
  <c r="AD39" i="9"/>
  <c r="AD2" i="9"/>
  <c r="AC44" i="9"/>
  <c r="AC43" i="9"/>
  <c r="AC40" i="9"/>
  <c r="AC39" i="9"/>
  <c r="AA44" i="9" l="1"/>
  <c r="AA43" i="9"/>
  <c r="AA40" i="9"/>
  <c r="AA39" i="9"/>
  <c r="Z44" i="9"/>
  <c r="Z43" i="9"/>
  <c r="Z41" i="9"/>
  <c r="Z40" i="9"/>
  <c r="Z39" i="9"/>
  <c r="AB44" i="9"/>
  <c r="AB43" i="9"/>
  <c r="AB41" i="9"/>
  <c r="AB40" i="9"/>
  <c r="AB39" i="9"/>
  <c r="Y44" i="9" l="1"/>
  <c r="Y43" i="9"/>
  <c r="Y40" i="9"/>
  <c r="Y39" i="9"/>
  <c r="X44" i="9"/>
  <c r="X43" i="9"/>
  <c r="X41" i="9"/>
  <c r="X40" i="9"/>
  <c r="X39" i="9"/>
  <c r="I45" i="3"/>
  <c r="I34" i="3"/>
  <c r="I29" i="9"/>
  <c r="I21" i="9"/>
  <c r="I20" i="9"/>
  <c r="I15" i="10"/>
  <c r="I10" i="10"/>
  <c r="W44" i="9" l="1"/>
  <c r="W43" i="9"/>
  <c r="W41" i="9"/>
  <c r="W40" i="9"/>
  <c r="W39" i="9"/>
  <c r="V44" i="9"/>
  <c r="V43" i="9"/>
  <c r="V41" i="9"/>
  <c r="V40" i="9"/>
  <c r="V39" i="9"/>
  <c r="U44" i="9"/>
  <c r="U43" i="9"/>
  <c r="U40" i="9"/>
  <c r="U39" i="9"/>
  <c r="T44" i="9"/>
  <c r="T43" i="9"/>
  <c r="T40" i="9"/>
  <c r="T39" i="9"/>
  <c r="S44" i="9"/>
  <c r="S43" i="9"/>
  <c r="S41" i="9"/>
  <c r="S40" i="9"/>
  <c r="S39" i="9"/>
  <c r="R44" i="9"/>
  <c r="R43" i="9"/>
  <c r="R40" i="9"/>
  <c r="R39" i="9"/>
  <c r="Q44" i="9"/>
  <c r="Q43" i="9"/>
  <c r="Q40" i="9"/>
  <c r="Q39" i="9"/>
  <c r="P44" i="9" l="1"/>
  <c r="P43" i="9"/>
  <c r="P41" i="9"/>
  <c r="P40" i="9"/>
  <c r="P39" i="9"/>
  <c r="P37" i="9"/>
  <c r="O44" i="9"/>
  <c r="O43" i="9"/>
  <c r="O41" i="9"/>
  <c r="O40" i="9"/>
  <c r="O39" i="9"/>
  <c r="N44" i="9"/>
  <c r="N43" i="9"/>
  <c r="N41" i="9"/>
  <c r="N40" i="9"/>
  <c r="N39" i="9"/>
  <c r="M44" i="9"/>
  <c r="M43" i="9"/>
  <c r="M40" i="9"/>
  <c r="M39" i="9"/>
  <c r="L44" i="9"/>
  <c r="L43" i="9"/>
  <c r="L40" i="9"/>
  <c r="L39" i="9"/>
  <c r="AH5" i="10" l="1"/>
  <c r="C5" i="11" s="1"/>
  <c r="I4" i="10"/>
  <c r="J4" i="10"/>
  <c r="K4" i="10"/>
  <c r="K44" i="9"/>
  <c r="K43" i="9"/>
  <c r="K40" i="9"/>
  <c r="K39" i="9"/>
  <c r="J44" i="9"/>
  <c r="J43" i="9"/>
  <c r="J41" i="9"/>
  <c r="J40" i="9"/>
  <c r="J39" i="9"/>
  <c r="I44" i="9"/>
  <c r="I43" i="9"/>
  <c r="I41" i="9"/>
  <c r="I40" i="9"/>
  <c r="I39" i="9"/>
  <c r="AH7" i="10" l="1"/>
  <c r="D7" i="10"/>
  <c r="AH6" i="10"/>
  <c r="C6" i="11" s="1"/>
  <c r="H44" i="9" l="1"/>
  <c r="H43" i="9"/>
  <c r="H41" i="9"/>
  <c r="H40" i="9"/>
  <c r="H39" i="9"/>
  <c r="G44" i="9"/>
  <c r="G43" i="9"/>
  <c r="G41" i="9"/>
  <c r="G40" i="9"/>
  <c r="G39" i="9"/>
  <c r="F43" i="9"/>
  <c r="F40" i="9"/>
  <c r="F39" i="9"/>
  <c r="E44" i="9" l="1"/>
  <c r="E43" i="9"/>
  <c r="E41" i="9"/>
  <c r="E40" i="9"/>
  <c r="E39" i="9"/>
  <c r="C46" i="3" l="1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D43" i="9"/>
  <c r="D40" i="9"/>
  <c r="D39" i="9"/>
  <c r="C44" i="9"/>
  <c r="C43" i="9"/>
  <c r="C41" i="9"/>
  <c r="C40" i="9"/>
  <c r="C39" i="9"/>
  <c r="C10" i="9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AM35" i="3" l="1"/>
  <c r="AL35" i="3"/>
  <c r="AM22" i="9"/>
  <c r="AL22" i="9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C7" i="10"/>
  <c r="AH4" i="10"/>
  <c r="C4" i="11" s="1"/>
  <c r="AH3" i="10"/>
  <c r="C3" i="11" s="1"/>
  <c r="C6" i="5" l="1"/>
  <c r="C41" i="5"/>
  <c r="D18" i="11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K41" i="9" l="1"/>
  <c r="M41" i="9"/>
  <c r="AD41" i="9"/>
  <c r="AF41" i="9"/>
  <c r="F34" i="9"/>
  <c r="M34" i="9"/>
  <c r="Q34" i="9"/>
  <c r="R34" i="9"/>
  <c r="T34" i="9"/>
  <c r="U34" i="9"/>
  <c r="Y34" i="9"/>
  <c r="AA34" i="9"/>
  <c r="AC34" i="9"/>
  <c r="AF34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F44" i="9" l="1"/>
  <c r="AG42" i="9"/>
  <c r="AF42" i="9"/>
  <c r="AE42" i="9"/>
  <c r="AD42" i="9"/>
  <c r="AC42" i="9"/>
  <c r="AB42" i="9"/>
  <c r="Z42" i="9"/>
  <c r="Y42" i="9"/>
  <c r="X42" i="9"/>
  <c r="W42" i="9"/>
  <c r="V42" i="9"/>
  <c r="U42" i="9"/>
  <c r="T42" i="9"/>
  <c r="S42" i="9"/>
  <c r="R42" i="9"/>
  <c r="Q42" i="9"/>
  <c r="P42" i="9"/>
  <c r="M42" i="9"/>
  <c r="L42" i="9"/>
  <c r="J42" i="9"/>
  <c r="I42" i="9"/>
  <c r="H42" i="9"/>
  <c r="G42" i="9"/>
  <c r="F42" i="9"/>
  <c r="E42" i="9"/>
  <c r="D42" i="9"/>
  <c r="C42" i="9"/>
  <c r="D35" i="9"/>
  <c r="E35" i="9"/>
  <c r="F35" i="9"/>
  <c r="G35" i="9"/>
  <c r="H35" i="9"/>
  <c r="I35" i="9"/>
  <c r="J35" i="9"/>
  <c r="K35" i="9"/>
  <c r="L35" i="9"/>
  <c r="N35" i="9"/>
  <c r="O35" i="9"/>
  <c r="P35" i="9"/>
  <c r="Q35" i="9"/>
  <c r="R35" i="9"/>
  <c r="S35" i="9"/>
  <c r="T35" i="9"/>
  <c r="U35" i="9"/>
  <c r="V35" i="9"/>
  <c r="W35" i="9"/>
  <c r="X35" i="9"/>
  <c r="Y35" i="9"/>
  <c r="Z35" i="9"/>
  <c r="AB35" i="9"/>
  <c r="AC35" i="9"/>
  <c r="AD35" i="9"/>
  <c r="AE35" i="9"/>
  <c r="AF35" i="9"/>
  <c r="AG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3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D26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AG52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L37" i="3" s="1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O35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 payment credit memo, reversed 8/17</t>
        </r>
      </text>
    </comment>
    <comment ref="AN3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over $1.32
Peg R over $11.88
Lauren S short $1.03
Glynn W over $16.05</t>
        </r>
      </text>
    </comment>
    <comment ref="D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 over $11.34
Lilly G short $0.15
Laurens S short $0.19
Gema M short $0.04</t>
        </r>
      </text>
    </comment>
    <comment ref="F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Gema M short $1.88
Glynn W short $0.02
Lilly G short $5.91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Sydney G short $2.02
Gema M short $0.06
Sara W over $0.02
Lauren S short $0.02</t>
        </r>
      </text>
    </comment>
    <comment ref="I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over $1.30
Gema M over $2.12
credit card deposit sent twice</t>
        </r>
      </text>
    </comment>
    <comment ref="J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Athena/Glynn over $9.28
Lauren S short $0.04
Sara W over $12.22</t>
        </r>
      </text>
    </comment>
    <comment ref="K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Sydney G short $0.43
Lauren S short $0.01
Lilly G short $12.79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Sydney G short $16.50
Sara W over $4.01
Gema M short $0.01
Lilly G short $19.01</t>
        </r>
      </text>
    </comment>
    <comment ref="N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Lauren S over $0.98
Gema M over $1.89
Steve S over $3.00
</t>
        </r>
      </text>
    </comment>
    <comment ref="P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short $49.74, $52 refund for cash sale processed 8/15, true over/short over $2.26</t>
        </r>
      </text>
    </comment>
    <comment ref="Q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$9.36 true over/short when $52 refund not considered
Sara W over $9.39 (on Marina's login)
Glynn W short $0.03</t>
        </r>
      </text>
    </comment>
    <comment ref="V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Lilly G over $5.02</t>
        </r>
      </text>
    </comment>
    <comment ref="W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Peg R short $4.00
Sara W short $0.04</t>
        </r>
      </text>
    </comment>
    <comment ref="X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short $2.77
Sydney G. over $0.05
Glynn W over $6.72
Deposit over $5.00</t>
        </r>
      </text>
    </comment>
    <comment ref="AB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Glynn W. over $9.10
Sara W over $0.68</t>
        </r>
      </text>
    </comment>
    <comment ref="AC4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Sara W short $1.78
Glynn W over $0.17</t>
        </r>
      </text>
    </comment>
    <comment ref="AN4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I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credit card deposit made twice</t>
        </r>
      </text>
    </comment>
    <comment ref="K26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27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correct short deposit from 8/19
</t>
        </r>
      </text>
    </comment>
    <comment ref="AB27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deposit short $19.81 from what was written on deposit slip</t>
        </r>
      </text>
    </comment>
  </commentList>
</comments>
</file>

<file path=xl/comments4.xml><?xml version="1.0" encoding="utf-8"?>
<comments xmlns="http://schemas.openxmlformats.org/spreadsheetml/2006/main">
  <authors>
    <author>Julie Lancaster</author>
    <author>MartyJo Davis</author>
  </authors>
  <commentList>
    <comment ref="I13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credit card deposits made twice
</t>
        </r>
      </text>
    </comment>
    <comment ref="AN1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<sst xmlns="http://schemas.openxmlformats.org/spreadsheetml/2006/main" count="532" uniqueCount="236">
  <si>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</si>
  <si>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</si>
  <si>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</si>
  <si>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</si>
  <si>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</si>
  <si>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</si>
  <si>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</si>
  <si>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</si>
  <si>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</si>
  <si>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</si>
  <si>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</si>
  <si>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</si>
  <si>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</si>
  <si>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</si>
  <si>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</si>
  <si>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</si>
  <si>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</si>
  <si>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</si>
  <si>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</si>
  <si>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</si>
  <si>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</si>
  <si>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</si>
  <si>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</si>
  <si>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</si>
  <si>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</si>
  <si>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</si>
  <si>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</si>
  <si>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</si>
  <si>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</si>
  <si>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</si>
  <si>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</si>
  <si>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</si>
  <si>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</si>
  <si>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</si>
  <si>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</si>
  <si>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</si>
  <si>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</si>
  <si>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</si>
  <si>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</si>
  <si>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</si>
  <si>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</si>
  <si>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</si>
  <si>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</si>
  <si>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</si>
  <si>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</si>
  <si>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</si>
  <si>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</si>
  <si>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</si>
  <si>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</si>
  <si>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</si>
  <si>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</si>
  <si>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</si>
  <si>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</si>
  <si>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</si>
  <si>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</si>
  <si>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</si>
  <si>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</si>
  <si>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</si>
  <si>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</si>
  <si>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</si>
  <si>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</si>
  <si>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</si>
  <si>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</si>
  <si>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</si>
  <si>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</si>
  <si>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</si>
  <si>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</si>
  <si>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</si>
  <si>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</si>
  <si>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</si>
  <si>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</si>
  <si>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</si>
  <si>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</si>
  <si>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</si>
  <si>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</si>
  <si>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</si>
  <si>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</si>
  <si>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</si>
  <si>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</si>
  <si>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</si>
  <si>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</si>
  <si>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</si>
  <si>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</si>
  <si>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</si>
  <si>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</si>
  <si>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</si>
  <si>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</si>
  <si>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</si>
  <si>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</si>
  <si>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</si>
  <si>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</si>
  <si>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</si>
  <si>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</si>
  <si>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</si>
  <si>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</si>
  <si>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</si>
  <si>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</si>
  <si>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</si>
  <si>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</si>
  <si>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</si>
  <si>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</si>
  <si>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</si>
  <si>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</si>
  <si>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</si>
  <si>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</si>
  <si>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</si>
  <si>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</si>
  <si>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</si>
  <si>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</si>
  <si>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</si>
  <si>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</si>
  <si>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</si>
  <si>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</si>
  <si>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</si>
  <si>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</si>
  <si>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</si>
  <si>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</si>
  <si>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</si>
  <si>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</si>
  <si>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</si>
  <si>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</si>
  <si>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</si>
  <si>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</si>
  <si>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</si>
  <si>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</si>
  <si>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</si>
  <si>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</si>
  <si>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</si>
  <si>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</si>
  <si>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</si>
  <si>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</si>
  <si>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</si>
  <si>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</si>
  <si>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</si>
  <si>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</si>
  <si>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</si>
  <si>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</si>
  <si>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</si>
  <si>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</si>
  <si>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</si>
  <si>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</si>
  <si>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</si>
  <si>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</si>
  <si>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</si>
  <si>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</si>
  <si>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</si>
  <si>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</si>
  <si>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</si>
  <si>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</si>
  <si>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</si>
  <si>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</si>
  <si>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</si>
  <si>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</si>
  <si>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</si>
  <si>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</si>
  <si>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</si>
  <si>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</si>
  <si>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</si>
  <si>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</si>
  <si>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</si>
  <si>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</si>
  <si>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</si>
  <si>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</si>
  <si>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</si>
  <si>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</si>
  <si>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</si>
  <si>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</si>
  <si>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</si>
  <si>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</si>
  <si>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</si>
  <si>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</si>
  <si>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</si>
  <si>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</si>
  <si>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</si>
  <si>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</si>
  <si>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</si>
  <si>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</si>
  <si>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</si>
  <si>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</si>
  <si>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</si>
  <si>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</si>
  <si>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</si>
  <si>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</si>
  <si>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</si>
  <si>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</si>
  <si>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</si>
  <si>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</si>
  <si>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</si>
  <si>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</si>
  <si>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</si>
  <si>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</si>
  <si>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</si>
  <si>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</si>
  <si>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</si>
  <si>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</si>
  <si>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</si>
  <si>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</si>
  <si>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</si>
  <si>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</si>
  <si>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</si>
  <si>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</si>
  <si>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</si>
  <si>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</si>
  <si>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</si>
  <si>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</si>
  <si>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</si>
  <si>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</si>
  <si>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</si>
  <si>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</si>
  <si>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</si>
  <si>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</si>
  <si>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</si>
  <si>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</si>
  <si>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</si>
  <si>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</si>
  <si>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</si>
  <si>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</si>
  <si>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</si>
  <si>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</si>
  <si>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</si>
  <si>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</si>
  <si>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</si>
  <si>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</si>
  <si>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</si>
  <si>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</si>
  <si>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</si>
  <si>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</si>
  <si>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</si>
  <si>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</si>
  <si>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</si>
  <si>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</si>
  <si>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</si>
  <si>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</si>
  <si>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August</t>
  </si>
  <si>
    <t>OHV Permits</t>
  </si>
  <si>
    <t>Non-profit Passthrough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</si>
</sst>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3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3" xfId="0" applyNumberFormat="1" applyFont="1" applyBorder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43" fontId="12" fillId="0" borderId="0" xfId="0" applyNumberFormat="1" applyFont="1" applyProtection="1">
      <protection locked="0"/>
    </xf>
    <xf numFmtId="43" fontId="41" fillId="7" borderId="9" xfId="0" applyNumberFormat="1" applyFont="1" applyFill="1" applyBorder="1" applyProtection="1">
      <protection locked="0"/>
    </xf>
    <xf numFmtId="0" fontId="12" fillId="7" borderId="46" xfId="0" applyFont="1" applyFill="1" applyBorder="1" applyProtection="1"/>
    <xf numFmtId="43" fontId="12" fillId="7" borderId="19" xfId="0" applyNumberFormat="1" applyFont="1" applyFill="1" applyBorder="1" applyProtection="1"/>
    <xf numFmtId="43" fontId="12" fillId="7" borderId="9" xfId="0" applyNumberFormat="1" applyFont="1" applyFill="1" applyBorder="1" applyProtection="1"/>
    <xf numFmtId="43" fontId="13" fillId="7" borderId="73" xfId="0" applyNumberFormat="1" applyFont="1" applyFill="1" applyBorder="1" applyProtection="1"/>
    <xf numFmtId="2" fontId="12" fillId="7" borderId="46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0" fontId="45" fillId="7" borderId="46" xfId="0" applyFont="1" applyFill="1" applyBorder="1" applyProtection="1"/>
    <xf numFmtId="0" fontId="45" fillId="7" borderId="58" xfId="0" applyFont="1" applyFill="1" applyBorder="1" applyProtection="1"/>
    <xf numFmtId="43" fontId="45" fillId="7" borderId="9" xfId="0" applyNumberFormat="1" applyFont="1" applyFill="1" applyBorder="1" applyProtection="1"/>
    <xf numFmtId="43" fontId="45" fillId="7" borderId="20" xfId="0" applyNumberFormat="1" applyFont="1" applyFill="1" applyBorder="1" applyProtection="1"/>
    <xf numFmtId="43" fontId="45" fillId="0" borderId="20" xfId="0" applyNumberFormat="1" applyFont="1" applyFill="1" applyBorder="1" applyProtection="1"/>
    <xf numFmtId="43" fontId="42" fillId="7" borderId="73" xfId="0" applyNumberFormat="1" applyFont="1" applyFill="1" applyBorder="1" applyProtection="1"/>
    <xf numFmtId="2" fontId="45" fillId="7" borderId="46" xfId="0" applyNumberFormat="1" applyFont="1" applyFill="1" applyBorder="1" applyProtection="1"/>
    <xf numFmtId="2" fontId="45" fillId="7" borderId="58" xfId="0" applyNumberFormat="1" applyFont="1" applyFill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233</v>
      </c>
      <c r="D1" s="384">
        <v>2023</v>
      </c>
      <c r="G1" s="217"/>
    </row>
    <row r="3" spans="1:22" x14ac:dyDescent="0.2">
      <c r="A3" s="5"/>
    </row>
    <row r="4" spans="1:22" s="1" customFormat="1" x14ac:dyDescent="0.2">
      <c r="B4" s="230"/>
      <c r="C4" s="497" t="s">
        <v>1</v>
      </c>
      <c r="D4" s="498"/>
      <c r="E4" s="498"/>
      <c r="F4" s="498"/>
      <c r="G4" s="498"/>
      <c r="H4" s="498"/>
      <c r="I4" s="498"/>
      <c r="J4" s="498"/>
      <c r="K4" s="498"/>
      <c r="L4" s="498"/>
      <c r="M4" s="499"/>
      <c r="N4" s="6"/>
      <c r="O4" s="500" t="s">
        <v>2</v>
      </c>
      <c r="P4" s="501"/>
      <c r="Q4" s="501"/>
      <c r="R4" s="502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45139</v>
      </c>
      <c r="B8" s="232" t="str">
        <f>TEXT(A8, "DDD")</f>
        <v>Tue</v>
      </c>
      <c r="C8" s="152">
        <f t="array" ref="C8:C38">TRANSPOSE(Pool!C33:AG33)</f>
        <v>1950.24</v>
      </c>
      <c r="D8" s="58">
        <f>'Box Canon'!C18+'Box Canon'!C19</f>
        <v>1499.13</v>
      </c>
      <c r="E8" s="21"/>
      <c r="F8" s="21"/>
      <c r="G8" s="151">
        <f t="array" ref="G8:G38">TRANSPOSE(Pool!C34:AG34)</f>
        <v>16528.759999999998</v>
      </c>
      <c r="H8" s="151">
        <f t="array" ref="H8:H38">TRANSPOSE(Pool!C35:AG35)</f>
        <v>0</v>
      </c>
      <c r="I8" s="151">
        <f>'Box Canon'!C20+'Box Canon'!C21</f>
        <v>2903.93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45140</v>
      </c>
      <c r="B9" s="232" t="str">
        <f t="shared" ref="B9:B38" si="0">TEXT(A9, "DDD")</f>
        <v>Wed</v>
      </c>
      <c r="C9" s="152">
        <v>3807.95</v>
      </c>
      <c r="D9" s="58">
        <f>'Box Canon'!D18+'Box Canon'!D19</f>
        <v>1876.7600000000002</v>
      </c>
      <c r="E9" s="21"/>
      <c r="F9" s="21"/>
      <c r="G9" s="151">
        <v>14710.89</v>
      </c>
      <c r="H9" s="151">
        <v>0</v>
      </c>
      <c r="I9" s="151">
        <f>'Box Canon'!D20+'Box Canon'!D21</f>
        <v>3506.64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45141</v>
      </c>
      <c r="B10" s="232" t="str">
        <f t="shared" si="0"/>
        <v>Thu</v>
      </c>
      <c r="C10" s="152">
        <v>1788</v>
      </c>
      <c r="D10" s="58">
        <f>'Box Canon'!E18+'Box Canon'!E19</f>
        <v>1435.53</v>
      </c>
      <c r="E10" s="21"/>
      <c r="F10" s="21"/>
      <c r="G10" s="151">
        <v>16397.46</v>
      </c>
      <c r="H10" s="151">
        <v>0</v>
      </c>
      <c r="I10" s="151">
        <f>'Box Canon'!E20+'Box Canon'!E21</f>
        <v>3614.66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45142</v>
      </c>
      <c r="B11" s="232" t="str">
        <f t="shared" si="0"/>
        <v>Fri</v>
      </c>
      <c r="C11" s="152">
        <v>2893.94</v>
      </c>
      <c r="D11" s="58">
        <f>'Box Canon'!F18+'Box Canon'!F19</f>
        <v>1378.9099999999999</v>
      </c>
      <c r="E11" s="21"/>
      <c r="F11" s="21"/>
      <c r="G11" s="151">
        <v>17975.57</v>
      </c>
      <c r="H11" s="153">
        <v>0</v>
      </c>
      <c r="I11" s="151">
        <f>'Box Canon'!F20+'Box Canon'!F21</f>
        <v>3554.81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45143</v>
      </c>
      <c r="B12" s="232" t="str">
        <f t="shared" si="0"/>
        <v>Sat</v>
      </c>
      <c r="C12" s="152">
        <v>2815.68</v>
      </c>
      <c r="D12" s="58">
        <f>'Box Canon'!G18+'Box Canon'!G19</f>
        <v>1533.5900000000001</v>
      </c>
      <c r="E12" s="21"/>
      <c r="F12" s="21"/>
      <c r="G12" s="151">
        <v>18674.79</v>
      </c>
      <c r="H12" s="153">
        <v>0</v>
      </c>
      <c r="I12" s="151">
        <f>'Box Canon'!G20+'Box Canon'!G21</f>
        <v>4109.26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45144</v>
      </c>
      <c r="B13" s="232" t="str">
        <f t="shared" si="0"/>
        <v>Sun</v>
      </c>
      <c r="C13" s="152">
        <v>3135.03</v>
      </c>
      <c r="D13" s="58">
        <f>'Box Canon'!H18+'Box Canon'!H19</f>
        <v>1544.29</v>
      </c>
      <c r="E13" s="21"/>
      <c r="F13" s="21"/>
      <c r="G13" s="151">
        <v>17137.59</v>
      </c>
      <c r="H13" s="153">
        <v>0</v>
      </c>
      <c r="I13" s="151">
        <f>'Box Canon'!H20+'Box Canon'!H21</f>
        <v>3364.15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45145</v>
      </c>
      <c r="B14" s="232" t="str">
        <f t="shared" si="0"/>
        <v>Mon</v>
      </c>
      <c r="C14" s="152">
        <v>3073.79</v>
      </c>
      <c r="D14" s="58">
        <f>'Box Canon'!I18+'Box Canon'!I19</f>
        <v>1640.3</v>
      </c>
      <c r="E14" s="21"/>
      <c r="F14" s="21"/>
      <c r="G14" s="151">
        <v>28533.08</v>
      </c>
      <c r="H14" s="153">
        <v>0</v>
      </c>
      <c r="I14" s="151">
        <f>'Box Canon'!I20+'Box Canon'!I21</f>
        <v>5992.74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45146</v>
      </c>
      <c r="B15" s="232" t="str">
        <f t="shared" si="0"/>
        <v>Tue</v>
      </c>
      <c r="C15" s="152">
        <v>2749.75</v>
      </c>
      <c r="D15" s="58">
        <f>'Box Canon'!J18+'Box Canon'!J19</f>
        <v>1674.73</v>
      </c>
      <c r="E15" s="21"/>
      <c r="F15" s="21"/>
      <c r="G15" s="151">
        <v>14500.5</v>
      </c>
      <c r="H15" s="153">
        <v>0</v>
      </c>
      <c r="I15" s="151">
        <f>'Box Canon'!J20+'Box Canon'!J21</f>
        <v>2470.94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45147</v>
      </c>
      <c r="B16" s="232" t="str">
        <f t="shared" si="0"/>
        <v>Wed</v>
      </c>
      <c r="C16" s="152">
        <v>1462.09</v>
      </c>
      <c r="D16" s="58">
        <f>'Box Canon'!K18+'Box Canon'!K19</f>
        <v>1516.1</v>
      </c>
      <c r="E16" s="21"/>
      <c r="F16" s="21"/>
      <c r="G16" s="151">
        <v>10066.459999999999</v>
      </c>
      <c r="H16" s="153">
        <v>0</v>
      </c>
      <c r="I16" s="151">
        <f>'Box Canon'!K20+'Box Canon'!K21</f>
        <v>2632.41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45148</v>
      </c>
      <c r="B17" s="232" t="str">
        <f t="shared" si="0"/>
        <v>Thu</v>
      </c>
      <c r="C17" s="152">
        <v>1550.79</v>
      </c>
      <c r="D17" s="58">
        <f>'Box Canon'!L18+'Box Canon'!L19</f>
        <v>999.92</v>
      </c>
      <c r="E17" s="21"/>
      <c r="F17" s="21"/>
      <c r="G17" s="151">
        <v>9923.84</v>
      </c>
      <c r="H17" s="153">
        <v>0</v>
      </c>
      <c r="I17" s="151">
        <f>'Box Canon'!L20+'Box Canon'!L21</f>
        <v>2055.9300000000003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45149</v>
      </c>
      <c r="B18" s="232" t="str">
        <f t="shared" si="0"/>
        <v>Fri</v>
      </c>
      <c r="C18" s="152">
        <v>2544.2600000000002</v>
      </c>
      <c r="D18" s="58">
        <f>'Box Canon'!M18+'Box Canon'!M19</f>
        <v>1183.6199999999999</v>
      </c>
      <c r="E18" s="21"/>
      <c r="F18" s="21"/>
      <c r="G18" s="151">
        <v>14618.23</v>
      </c>
      <c r="H18" s="153">
        <v>0</v>
      </c>
      <c r="I18" s="151">
        <f>'Box Canon'!M20+'Box Canon'!M21</f>
        <v>2563.14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45150</v>
      </c>
      <c r="B19" s="232" t="str">
        <f t="shared" si="0"/>
        <v>Sat</v>
      </c>
      <c r="C19" s="152">
        <v>3924.99</v>
      </c>
      <c r="D19" s="58">
        <f>'Box Canon'!N18+'Box Canon'!N19</f>
        <v>1702.69</v>
      </c>
      <c r="E19" s="21"/>
      <c r="F19" s="21"/>
      <c r="G19" s="151">
        <v>16690.57</v>
      </c>
      <c r="H19" s="153">
        <v>0</v>
      </c>
      <c r="I19" s="151">
        <f>'Box Canon'!N20+'Box Canon'!N21</f>
        <v>3773.08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45151</v>
      </c>
      <c r="B20" s="232" t="str">
        <f t="shared" si="0"/>
        <v>Sun</v>
      </c>
      <c r="C20" s="152">
        <v>2355.63</v>
      </c>
      <c r="D20" s="58">
        <f>'Box Canon'!O18+'Box Canon'!O19</f>
        <v>1213.29</v>
      </c>
      <c r="E20" s="21"/>
      <c r="F20" s="21"/>
      <c r="G20" s="151">
        <v>12210.62</v>
      </c>
      <c r="H20" s="153">
        <v>26</v>
      </c>
      <c r="I20" s="151">
        <f>'Box Canon'!O20+'Box Canon'!O21</f>
        <v>2659.31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45152</v>
      </c>
      <c r="B21" s="232" t="str">
        <f t="shared" si="0"/>
        <v>Mon</v>
      </c>
      <c r="C21" s="152">
        <v>1319.67</v>
      </c>
      <c r="D21" s="58">
        <f>'Box Canon'!P18+'Box Canon'!P19</f>
        <v>831.82999999999993</v>
      </c>
      <c r="E21" s="41"/>
      <c r="F21" s="21"/>
      <c r="G21" s="151">
        <v>7218.57</v>
      </c>
      <c r="H21" s="153">
        <v>0</v>
      </c>
      <c r="I21" s="151">
        <f>'Box Canon'!P20+'Box Canon'!P21</f>
        <v>2036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45153</v>
      </c>
      <c r="B22" s="232" t="str">
        <f t="shared" si="0"/>
        <v>Tue</v>
      </c>
      <c r="C22" s="152">
        <v>1459.12</v>
      </c>
      <c r="D22" s="58">
        <f>'Box Canon'!Q18+'Box Canon'!Q19</f>
        <v>1045.1799999999998</v>
      </c>
      <c r="E22" s="21"/>
      <c r="F22" s="21"/>
      <c r="G22" s="151">
        <v>8786.26</v>
      </c>
      <c r="H22" s="153">
        <v>0</v>
      </c>
      <c r="I22" s="151">
        <f>'Box Canon'!Q20+'Box Canon'!Q21</f>
        <v>1848.3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45154</v>
      </c>
      <c r="B23" s="232" t="str">
        <f t="shared" si="0"/>
        <v>Wed</v>
      </c>
      <c r="C23" s="152">
        <v>1634.29</v>
      </c>
      <c r="D23" s="58">
        <f>'Box Canon'!R18+'Box Canon'!R19</f>
        <v>1170.31</v>
      </c>
      <c r="E23" s="21"/>
      <c r="F23" s="21"/>
      <c r="G23" s="151">
        <v>10889.32</v>
      </c>
      <c r="H23" s="153">
        <v>0</v>
      </c>
      <c r="I23" s="151">
        <f>'Box Canon'!R20+'Box Canon'!R21</f>
        <v>1930.17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45155</v>
      </c>
      <c r="B24" s="232" t="str">
        <f t="shared" si="0"/>
        <v>Thu</v>
      </c>
      <c r="C24" s="152">
        <v>714.89</v>
      </c>
      <c r="D24" s="58">
        <f>'Box Canon'!S18+'Box Canon'!S19</f>
        <v>1038.29</v>
      </c>
      <c r="E24" s="21"/>
      <c r="F24" s="21"/>
      <c r="G24" s="151">
        <v>7207.55</v>
      </c>
      <c r="H24" s="153">
        <v>-26</v>
      </c>
      <c r="I24" s="151">
        <f>'Box Canon'!S20+'Box Canon'!S21</f>
        <v>2078.9700000000003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45156</v>
      </c>
      <c r="B25" s="232" t="str">
        <f t="shared" si="0"/>
        <v>Fri</v>
      </c>
      <c r="C25" s="152">
        <v>2110.16</v>
      </c>
      <c r="D25" s="58">
        <f>'Box Canon'!T18+'Box Canon'!T19</f>
        <v>1183.51</v>
      </c>
      <c r="E25" s="21"/>
      <c r="F25" s="21"/>
      <c r="G25" s="151">
        <v>9985.15</v>
      </c>
      <c r="H25" s="153">
        <v>0</v>
      </c>
      <c r="I25" s="151">
        <f>'Box Canon'!T20+'Box Canon'!T21</f>
        <v>2508.29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45157</v>
      </c>
      <c r="B26" s="232" t="str">
        <f t="shared" si="0"/>
        <v>Sat</v>
      </c>
      <c r="C26" s="152">
        <v>3652.62</v>
      </c>
      <c r="D26" s="58">
        <f>'Box Canon'!U18+'Box Canon'!U19</f>
        <v>1656.94</v>
      </c>
      <c r="E26" s="21"/>
      <c r="F26" s="21"/>
      <c r="G26" s="151">
        <v>15535.44</v>
      </c>
      <c r="H26" s="153">
        <v>0</v>
      </c>
      <c r="I26" s="151">
        <f>'Box Canon'!U20+'Box Canon'!U21</f>
        <v>3136.14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45158</v>
      </c>
      <c r="B27" s="232" t="str">
        <f t="shared" si="0"/>
        <v>Sun</v>
      </c>
      <c r="C27" s="152">
        <v>1797.48</v>
      </c>
      <c r="D27" s="58">
        <f>'Box Canon'!V18+'Box Canon'!V19</f>
        <v>1281.42</v>
      </c>
      <c r="E27" s="21"/>
      <c r="F27" s="21"/>
      <c r="G27" s="151">
        <v>10684.29</v>
      </c>
      <c r="H27" s="153">
        <v>0</v>
      </c>
      <c r="I27" s="151">
        <f>'Box Canon'!V20+'Box Canon'!V21</f>
        <v>2409.3200000000002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45159</v>
      </c>
      <c r="B28" s="232" t="str">
        <f t="shared" si="0"/>
        <v>Mon</v>
      </c>
      <c r="C28" s="152">
        <v>1467.56</v>
      </c>
      <c r="D28" s="58">
        <f>'Box Canon'!W18+'Box Canon'!W19</f>
        <v>1234.1399999999999</v>
      </c>
      <c r="E28" s="21"/>
      <c r="F28" s="21"/>
      <c r="G28" s="151">
        <v>7369.33</v>
      </c>
      <c r="H28" s="153">
        <v>0</v>
      </c>
      <c r="I28" s="151">
        <f>'Box Canon'!W20+'Box Canon'!W21</f>
        <v>1722.63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45160</v>
      </c>
      <c r="B29" s="232" t="str">
        <f t="shared" si="0"/>
        <v>Tue</v>
      </c>
      <c r="C29" s="152">
        <v>1315.94</v>
      </c>
      <c r="D29" s="58">
        <f>'Box Canon'!X18+'Box Canon'!X19</f>
        <v>1020.11</v>
      </c>
      <c r="E29" s="21"/>
      <c r="F29" s="21"/>
      <c r="G29" s="151">
        <v>6302.03</v>
      </c>
      <c r="H29" s="153">
        <v>0</v>
      </c>
      <c r="I29" s="151">
        <f>'Box Canon'!X20+'Box Canon'!X21</f>
        <v>1411.01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45161</v>
      </c>
      <c r="B30" s="232" t="str">
        <f t="shared" si="0"/>
        <v>Wed</v>
      </c>
      <c r="C30" s="152">
        <v>884.83</v>
      </c>
      <c r="D30" s="58">
        <f>'Box Canon'!Y18+'Box Canon'!Y19</f>
        <v>1299.3899999999999</v>
      </c>
      <c r="E30" s="21"/>
      <c r="F30" s="21"/>
      <c r="G30" s="151">
        <v>8435.49</v>
      </c>
      <c r="H30" s="153">
        <v>0</v>
      </c>
      <c r="I30" s="151">
        <f>'Box Canon'!Y20+'Box Canon'!Y21</f>
        <v>1627.98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45162</v>
      </c>
      <c r="B31" s="232" t="str">
        <f t="shared" si="0"/>
        <v>Thu</v>
      </c>
      <c r="C31" s="152">
        <v>1092</v>
      </c>
      <c r="D31" s="58">
        <f>'Box Canon'!Z18+'Box Canon'!Z19</f>
        <v>962.98</v>
      </c>
      <c r="E31" s="21"/>
      <c r="F31" s="21"/>
      <c r="G31" s="151">
        <v>6514.15</v>
      </c>
      <c r="H31" s="153">
        <v>0</v>
      </c>
      <c r="I31" s="151">
        <f>'Box Canon'!Z20+'Box Canon'!Z21</f>
        <v>1154.8400000000001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45163</v>
      </c>
      <c r="B32" s="232" t="str">
        <f t="shared" si="0"/>
        <v>Fri</v>
      </c>
      <c r="C32" s="152">
        <v>1204.0999999999999</v>
      </c>
      <c r="D32" s="58">
        <f>'Box Canon'!AA18+'Box Canon'!AA19</f>
        <v>1002.16</v>
      </c>
      <c r="E32" s="21"/>
      <c r="F32" s="21"/>
      <c r="G32" s="151">
        <v>6951.33</v>
      </c>
      <c r="H32" s="153">
        <v>0</v>
      </c>
      <c r="I32" s="151">
        <f>'Box Canon'!AA20+'Box Canon'!AA21</f>
        <v>1834.1799999999998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45164</v>
      </c>
      <c r="B33" s="232" t="str">
        <f t="shared" si="0"/>
        <v>Sat</v>
      </c>
      <c r="C33" s="152">
        <v>1571.09</v>
      </c>
      <c r="D33" s="58">
        <f>'Box Canon'!AB18+'Box Canon'!AB19</f>
        <v>1111.78</v>
      </c>
      <c r="E33" s="21"/>
      <c r="F33" s="21"/>
      <c r="G33" s="151">
        <v>11232.64</v>
      </c>
      <c r="H33" s="153">
        <v>0</v>
      </c>
      <c r="I33" s="151">
        <f>'Box Canon'!AB20+'Box Canon'!AB21</f>
        <v>2628.5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45165</v>
      </c>
      <c r="B34" s="232" t="str">
        <f t="shared" si="0"/>
        <v>Sun</v>
      </c>
      <c r="C34" s="152">
        <v>1720.84</v>
      </c>
      <c r="D34" s="58">
        <f>'Box Canon'!AC18+'Box Canon'!AC19</f>
        <v>1450.47</v>
      </c>
      <c r="E34" s="21"/>
      <c r="F34" s="21"/>
      <c r="G34" s="151">
        <v>11254.84</v>
      </c>
      <c r="H34" s="153">
        <v>0</v>
      </c>
      <c r="I34" s="151">
        <f>'Box Canon'!AC20+'Box Canon'!AC21</f>
        <v>2389.54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45166</v>
      </c>
      <c r="B35" s="232" t="str">
        <f t="shared" si="0"/>
        <v>Mon</v>
      </c>
      <c r="C35" s="152">
        <v>1076</v>
      </c>
      <c r="D35" s="58">
        <f>'Box Canon'!AD18+'Box Canon'!AD19</f>
        <v>905.76</v>
      </c>
      <c r="E35" s="21"/>
      <c r="F35" s="21"/>
      <c r="G35" s="151">
        <v>6432.37</v>
      </c>
      <c r="H35" s="153">
        <v>0</v>
      </c>
      <c r="I35" s="151">
        <f>'Box Canon'!AD20+'Box Canon'!AD21</f>
        <v>1168.47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45167</v>
      </c>
      <c r="B36" s="232" t="str">
        <f t="shared" si="0"/>
        <v>Tue</v>
      </c>
      <c r="C36" s="152">
        <v>1107.2</v>
      </c>
      <c r="D36" s="58">
        <f>'Box Canon'!AE18+'Box Canon'!AE19</f>
        <v>920.86</v>
      </c>
      <c r="E36" s="42"/>
      <c r="F36" s="21"/>
      <c r="G36" s="151">
        <v>4954.87</v>
      </c>
      <c r="H36" s="153">
        <v>0</v>
      </c>
      <c r="I36" s="151">
        <f>'Box Canon'!AE20+'Box Canon'!AE21</f>
        <v>1395.52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45168</v>
      </c>
      <c r="B37" s="232" t="str">
        <f t="shared" si="0"/>
        <v>Wed</v>
      </c>
      <c r="C37" s="152">
        <v>918</v>
      </c>
      <c r="D37" s="58">
        <f>'Box Canon'!AF18+'Box Canon'!AF19</f>
        <v>809.68</v>
      </c>
      <c r="E37" s="21"/>
      <c r="F37" s="21"/>
      <c r="G37" s="151">
        <v>5210.12</v>
      </c>
      <c r="H37" s="153">
        <v>0</v>
      </c>
      <c r="I37" s="151">
        <f>'Box Canon'!AF20+'Box Canon'!AF21</f>
        <v>1216.3000000000002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45169</v>
      </c>
      <c r="B38" s="232" t="str">
        <f t="shared" si="0"/>
        <v>Thu</v>
      </c>
      <c r="C38" s="152">
        <v>873.9</v>
      </c>
      <c r="D38" s="58">
        <f>'Box Canon'!AG18+'Box Canon'!AG19</f>
        <v>1069.81</v>
      </c>
      <c r="E38" s="21"/>
      <c r="F38" s="21"/>
      <c r="G38" s="151">
        <v>7647.86</v>
      </c>
      <c r="H38" s="153">
        <v>0</v>
      </c>
      <c r="I38" s="151">
        <f>'Box Canon'!AG20+'Box Canon'!AG21</f>
        <v>1351.55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59971.83</v>
      </c>
      <c r="D40" s="171">
        <f t="shared" ref="D40:M40" si="2">SUM(D8:D39)</f>
        <v>39193.479999999996</v>
      </c>
      <c r="E40" s="172">
        <f t="shared" si="2"/>
        <v>0</v>
      </c>
      <c r="F40" s="172">
        <f t="shared" si="2"/>
        <v>0</v>
      </c>
      <c r="G40" s="171">
        <f>SUM(G8:G38)</f>
        <v>360579.97000000009</v>
      </c>
      <c r="H40" s="171">
        <f>SUM(H8:H38)</f>
        <v>0</v>
      </c>
      <c r="I40" s="171">
        <f>SUM(I8:I38)</f>
        <v>77048.710000000006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536793.99000000011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99165.31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D6" sqref="D6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8" width="10" style="60" customWidth="1"/>
    <col min="9" max="9" width="10.5703125" style="60" bestFit="1" customWidth="1"/>
    <col min="10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119</v>
      </c>
      <c r="B1" s="378" t="str">
        <f>'Cash Flow'!C1</f>
        <v>August</v>
      </c>
      <c r="C1" s="228" t="str">
        <f t="array" ref="C1:AG1">TRANSPOSE('Cash Flow'!B8:B38)</f>
        <v>Tue</v>
      </c>
      <c r="D1" s="228" t="str">
        <v>Wed</v>
      </c>
      <c r="E1" s="228" t="str">
        <v>Thu</v>
      </c>
      <c r="F1" s="228" t="str">
        <v>Fri</v>
      </c>
      <c r="G1" s="228" t="str">
        <v>Sat</v>
      </c>
      <c r="H1" s="228" t="str">
        <v>Sun</v>
      </c>
      <c r="I1" s="228" t="str">
        <v>Mon</v>
      </c>
      <c r="J1" s="228" t="str">
        <v>Tue</v>
      </c>
      <c r="K1" s="228" t="str">
        <v>Wed</v>
      </c>
      <c r="L1" s="228" t="str">
        <v>Thu</v>
      </c>
      <c r="M1" s="228" t="str">
        <v>Fri</v>
      </c>
      <c r="N1" s="228" t="str">
        <v>Sat</v>
      </c>
      <c r="O1" s="228" t="str">
        <v>Sun</v>
      </c>
      <c r="P1" s="228" t="str">
        <v>Mon</v>
      </c>
      <c r="Q1" s="228" t="str">
        <v>Tue</v>
      </c>
      <c r="R1" s="228" t="str">
        <v>Wed</v>
      </c>
      <c r="S1" s="228" t="str">
        <v>Thu</v>
      </c>
      <c r="T1" s="228" t="str">
        <v>Fri</v>
      </c>
      <c r="U1" s="228" t="str">
        <v>Sat</v>
      </c>
      <c r="V1" s="228" t="str">
        <v>Sun</v>
      </c>
      <c r="W1" s="228" t="str">
        <v>Mon</v>
      </c>
      <c r="X1" s="228" t="str">
        <v>Tue</v>
      </c>
      <c r="Y1" s="228" t="str">
        <v>Wed</v>
      </c>
      <c r="Z1" s="228" t="str">
        <v>Thu</v>
      </c>
      <c r="AA1" s="228" t="str">
        <v>Fri</v>
      </c>
      <c r="AB1" s="228" t="str">
        <v>Sat</v>
      </c>
      <c r="AC1" s="228" t="str">
        <v>Sun</v>
      </c>
      <c r="AD1" s="228" t="str">
        <v>Mon</v>
      </c>
      <c r="AE1" s="228" t="str">
        <v>Tue</v>
      </c>
      <c r="AF1" s="228" t="str">
        <v>Wed</v>
      </c>
      <c r="AG1" s="228" t="str">
        <v>Thu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45139</v>
      </c>
      <c r="D2" s="106">
        <f>C2+1</f>
        <v>45140</v>
      </c>
      <c r="E2" s="106">
        <f>D2+1</f>
        <v>45141</v>
      </c>
      <c r="F2" s="106">
        <f t="shared" ref="F2:AG2" si="0">E2+1</f>
        <v>45142</v>
      </c>
      <c r="G2" s="106">
        <f t="shared" si="0"/>
        <v>45143</v>
      </c>
      <c r="H2" s="106">
        <f t="shared" si="0"/>
        <v>45144</v>
      </c>
      <c r="I2" s="106">
        <f t="shared" si="0"/>
        <v>45145</v>
      </c>
      <c r="J2" s="106">
        <f t="shared" si="0"/>
        <v>45146</v>
      </c>
      <c r="K2" s="106">
        <f t="shared" si="0"/>
        <v>45147</v>
      </c>
      <c r="L2" s="106">
        <f t="shared" si="0"/>
        <v>45148</v>
      </c>
      <c r="M2" s="106">
        <f t="shared" si="0"/>
        <v>45149</v>
      </c>
      <c r="N2" s="106">
        <f t="shared" si="0"/>
        <v>45150</v>
      </c>
      <c r="O2" s="106">
        <f t="shared" si="0"/>
        <v>45151</v>
      </c>
      <c r="P2" s="106">
        <f t="shared" si="0"/>
        <v>45152</v>
      </c>
      <c r="Q2" s="106">
        <f t="shared" si="0"/>
        <v>45153</v>
      </c>
      <c r="R2" s="106">
        <f t="shared" si="0"/>
        <v>45154</v>
      </c>
      <c r="S2" s="106">
        <f t="shared" si="0"/>
        <v>45155</v>
      </c>
      <c r="T2" s="106">
        <f t="shared" si="0"/>
        <v>45156</v>
      </c>
      <c r="U2" s="106">
        <f t="shared" si="0"/>
        <v>45157</v>
      </c>
      <c r="V2" s="106">
        <f t="shared" si="0"/>
        <v>45158</v>
      </c>
      <c r="W2" s="106">
        <f t="shared" si="0"/>
        <v>45159</v>
      </c>
      <c r="X2" s="106">
        <f t="shared" si="0"/>
        <v>45160</v>
      </c>
      <c r="Y2" s="106">
        <f t="shared" si="0"/>
        <v>45161</v>
      </c>
      <c r="Z2" s="106">
        <f t="shared" si="0"/>
        <v>45162</v>
      </c>
      <c r="AA2" s="106">
        <f t="shared" si="0"/>
        <v>45163</v>
      </c>
      <c r="AB2" s="106">
        <f t="shared" si="0"/>
        <v>45164</v>
      </c>
      <c r="AC2" s="106">
        <f t="shared" si="0"/>
        <v>45165</v>
      </c>
      <c r="AD2" s="106">
        <f t="shared" si="0"/>
        <v>45166</v>
      </c>
      <c r="AE2" s="106">
        <f t="shared" si="0"/>
        <v>45167</v>
      </c>
      <c r="AF2" s="106">
        <f t="shared" si="0"/>
        <v>45168</v>
      </c>
      <c r="AG2" s="106">
        <f t="shared" si="0"/>
        <v>45169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76.34</v>
      </c>
      <c r="D3" s="185">
        <v>74.09</v>
      </c>
      <c r="E3" s="185">
        <v>78.25</v>
      </c>
      <c r="F3" s="185">
        <v>97</v>
      </c>
      <c r="G3" s="185">
        <v>91.55</v>
      </c>
      <c r="H3" s="185">
        <v>72</v>
      </c>
      <c r="I3" s="185">
        <v>69.91</v>
      </c>
      <c r="J3" s="185">
        <v>50.8</v>
      </c>
      <c r="K3" s="185">
        <v>62.25</v>
      </c>
      <c r="L3" s="185">
        <v>53.19</v>
      </c>
      <c r="M3" s="185">
        <v>69.349999999999994</v>
      </c>
      <c r="N3" s="185">
        <v>60.65</v>
      </c>
      <c r="O3" s="185">
        <v>58.53</v>
      </c>
      <c r="P3" s="185">
        <v>25.01</v>
      </c>
      <c r="Q3" s="185">
        <v>52</v>
      </c>
      <c r="R3" s="185">
        <v>58.88</v>
      </c>
      <c r="S3" s="185">
        <v>39.94</v>
      </c>
      <c r="T3" s="185">
        <v>63.58</v>
      </c>
      <c r="U3" s="185">
        <v>90.65</v>
      </c>
      <c r="V3" s="185">
        <v>71.819999999999993</v>
      </c>
      <c r="W3" s="185">
        <v>37.880000000000003</v>
      </c>
      <c r="X3" s="185">
        <v>28.39</v>
      </c>
      <c r="Y3" s="185">
        <v>32.71</v>
      </c>
      <c r="Z3" s="185">
        <v>31.14</v>
      </c>
      <c r="AA3" s="185">
        <v>38.25</v>
      </c>
      <c r="AB3" s="185">
        <v>51.47</v>
      </c>
      <c r="AC3" s="185">
        <v>47.8</v>
      </c>
      <c r="AD3" s="185">
        <v>35.43</v>
      </c>
      <c r="AE3" s="185">
        <v>20.329999999999998</v>
      </c>
      <c r="AF3" s="185">
        <v>29.85</v>
      </c>
      <c r="AG3" s="185">
        <v>30.09</v>
      </c>
      <c r="AH3" s="108">
        <f>SUM(C3:AG3)</f>
        <v>1699.13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226</v>
      </c>
      <c r="C4" s="71">
        <v>14988.8</v>
      </c>
      <c r="D4" s="72">
        <f>13083.4-5</f>
        <v>13078.4</v>
      </c>
      <c r="E4" s="71">
        <v>14274</v>
      </c>
      <c r="F4" s="71">
        <v>16124.4</v>
      </c>
      <c r="G4" s="71">
        <v>15869.6</v>
      </c>
      <c r="H4" s="71">
        <v>16810.599999999999</v>
      </c>
      <c r="I4" s="71">
        <v>14224.4</v>
      </c>
      <c r="J4" s="71">
        <v>12704.6</v>
      </c>
      <c r="K4" s="71">
        <v>9746.64</v>
      </c>
      <c r="L4" s="71">
        <v>8900</v>
      </c>
      <c r="M4" s="71">
        <f>13775-5</f>
        <v>13770</v>
      </c>
      <c r="N4" s="71">
        <v>16463.2</v>
      </c>
      <c r="O4" s="71">
        <v>11518.4</v>
      </c>
      <c r="P4" s="71">
        <v>6307.6</v>
      </c>
      <c r="Q4" s="71">
        <v>7842</v>
      </c>
      <c r="R4" s="71">
        <v>9500.2000000000007</v>
      </c>
      <c r="S4" s="71">
        <v>5675.6</v>
      </c>
      <c r="T4" s="71">
        <v>9108.2000000000007</v>
      </c>
      <c r="U4" s="71">
        <v>15936.4</v>
      </c>
      <c r="V4" s="71">
        <v>9900.6</v>
      </c>
      <c r="W4" s="71">
        <f>6454.2-15</f>
        <v>6439.2</v>
      </c>
      <c r="X4" s="71">
        <v>5787.2</v>
      </c>
      <c r="Y4" s="71">
        <v>5938.4</v>
      </c>
      <c r="Z4" s="71">
        <v>5710.6</v>
      </c>
      <c r="AA4" s="71">
        <v>6529.6</v>
      </c>
      <c r="AB4" s="71">
        <v>10970.2</v>
      </c>
      <c r="AC4" s="71">
        <v>9601.6</v>
      </c>
      <c r="AD4" s="71">
        <v>6122.4</v>
      </c>
      <c r="AE4" s="71">
        <v>5148.3999999999996</v>
      </c>
      <c r="AF4" s="71">
        <f>5049-10</f>
        <v>5039</v>
      </c>
      <c r="AG4" s="71">
        <v>5748.8</v>
      </c>
      <c r="AH4" s="108">
        <f t="shared" ref="AH4:AH28" si="1">SUM(C4:AG4)</f>
        <v>315779.04000000004</v>
      </c>
      <c r="AJ4" s="69" t="s">
        <v>30</v>
      </c>
      <c r="AK4" s="70" t="s">
        <v>31</v>
      </c>
      <c r="AL4" s="210"/>
      <c r="AM4" s="210"/>
    </row>
    <row r="5" spans="1:39" hidden="1" x14ac:dyDescent="0.25">
      <c r="A5" s="370" t="s">
        <v>150</v>
      </c>
      <c r="B5" s="371" t="s">
        <v>151</v>
      </c>
      <c r="C5" s="372"/>
      <c r="D5" s="373"/>
      <c r="E5" s="373"/>
      <c r="F5" s="373"/>
      <c r="G5" s="373"/>
      <c r="H5" s="373"/>
      <c r="I5" s="373"/>
      <c r="J5" s="373"/>
      <c r="K5" s="373"/>
      <c r="L5" s="373"/>
      <c r="M5" s="373"/>
      <c r="N5" s="373"/>
      <c r="O5" s="373"/>
      <c r="P5" s="373"/>
      <c r="Q5" s="373"/>
      <c r="R5" s="373"/>
      <c r="S5" s="373"/>
      <c r="T5" s="373"/>
      <c r="U5" s="373"/>
      <c r="V5" s="373"/>
      <c r="W5" s="373"/>
      <c r="X5" s="373"/>
      <c r="Y5" s="373"/>
      <c r="Z5" s="373"/>
      <c r="AA5" s="373"/>
      <c r="AB5" s="373"/>
      <c r="AC5" s="373"/>
      <c r="AD5" s="373"/>
      <c r="AE5" s="373"/>
      <c r="AF5" s="373"/>
      <c r="AG5" s="373"/>
      <c r="AH5" s="374">
        <f>SUM(C5:AG5)</f>
        <v>0</v>
      </c>
      <c r="AI5" s="375"/>
      <c r="AJ5" s="370" t="s">
        <v>150</v>
      </c>
      <c r="AK5" s="371" t="s">
        <v>151</v>
      </c>
      <c r="AM5" s="210"/>
    </row>
    <row r="6" spans="1:39" s="465" customFormat="1" x14ac:dyDescent="0.25">
      <c r="A6" s="162" t="s">
        <v>152</v>
      </c>
      <c r="B6" s="163" t="s">
        <v>231</v>
      </c>
      <c r="C6" s="477">
        <v>300</v>
      </c>
      <c r="D6" s="478">
        <v>158</v>
      </c>
      <c r="E6" s="478">
        <v>766</v>
      </c>
      <c r="F6" s="478">
        <v>65</v>
      </c>
      <c r="G6" s="478">
        <v>1606</v>
      </c>
      <c r="H6" s="478">
        <v>147.5</v>
      </c>
      <c r="I6" s="478"/>
      <c r="J6" s="478">
        <v>740</v>
      </c>
      <c r="K6" s="478"/>
      <c r="L6" s="478"/>
      <c r="M6" s="478">
        <v>60</v>
      </c>
      <c r="N6" s="478">
        <v>939</v>
      </c>
      <c r="O6" s="478">
        <v>26</v>
      </c>
      <c r="P6" s="478">
        <v>243</v>
      </c>
      <c r="Q6" s="478">
        <v>222.5</v>
      </c>
      <c r="R6" s="478">
        <v>580</v>
      </c>
      <c r="S6" s="478">
        <v>73</v>
      </c>
      <c r="T6" s="478">
        <v>390</v>
      </c>
      <c r="U6" s="478"/>
      <c r="V6" s="478">
        <v>315</v>
      </c>
      <c r="W6" s="478">
        <v>65</v>
      </c>
      <c r="X6" s="478">
        <v>275</v>
      </c>
      <c r="Y6" s="478">
        <v>785</v>
      </c>
      <c r="Z6" s="478">
        <v>898</v>
      </c>
      <c r="AA6" s="478"/>
      <c r="AB6" s="478">
        <v>165</v>
      </c>
      <c r="AC6" s="478">
        <v>65</v>
      </c>
      <c r="AD6" s="478">
        <v>150</v>
      </c>
      <c r="AE6" s="478">
        <v>150</v>
      </c>
      <c r="AF6" s="478">
        <v>357.5</v>
      </c>
      <c r="AG6" s="478">
        <v>600</v>
      </c>
      <c r="AH6" s="108">
        <f>SUM(C6:AG6)</f>
        <v>10141.5</v>
      </c>
      <c r="AI6" s="62"/>
      <c r="AJ6" s="162" t="s">
        <v>152</v>
      </c>
      <c r="AK6" s="163" t="s">
        <v>192</v>
      </c>
      <c r="AM6" s="479"/>
    </row>
    <row r="7" spans="1:39" s="465" customFormat="1" x14ac:dyDescent="0.25">
      <c r="A7" s="162" t="s">
        <v>152</v>
      </c>
      <c r="B7" s="163" t="s">
        <v>222</v>
      </c>
      <c r="C7" s="477">
        <v>1360</v>
      </c>
      <c r="D7" s="478">
        <v>1940</v>
      </c>
      <c r="E7" s="478">
        <v>1260</v>
      </c>
      <c r="F7" s="478">
        <v>1680</v>
      </c>
      <c r="G7" s="478">
        <v>1940</v>
      </c>
      <c r="H7" s="478">
        <v>1540</v>
      </c>
      <c r="I7" s="478">
        <v>1040</v>
      </c>
      <c r="J7" s="478">
        <v>1900</v>
      </c>
      <c r="K7" s="478"/>
      <c r="L7" s="478">
        <v>1800</v>
      </c>
      <c r="M7" s="478">
        <v>1720</v>
      </c>
      <c r="N7" s="478">
        <v>1580</v>
      </c>
      <c r="O7" s="478">
        <v>1940</v>
      </c>
      <c r="P7" s="478">
        <v>860</v>
      </c>
      <c r="Q7" s="478">
        <v>860</v>
      </c>
      <c r="R7" s="478">
        <v>720</v>
      </c>
      <c r="S7" s="478">
        <v>1180</v>
      </c>
      <c r="T7" s="478">
        <v>1580</v>
      </c>
      <c r="U7" s="478">
        <v>1580</v>
      </c>
      <c r="V7" s="478">
        <v>1040</v>
      </c>
      <c r="W7" s="478">
        <v>1360</v>
      </c>
      <c r="X7" s="478">
        <v>1000</v>
      </c>
      <c r="Y7" s="478">
        <v>1040</v>
      </c>
      <c r="Z7" s="478">
        <v>320</v>
      </c>
      <c r="AA7" s="478">
        <v>680</v>
      </c>
      <c r="AB7" s="478">
        <v>820</v>
      </c>
      <c r="AC7" s="478">
        <v>1900</v>
      </c>
      <c r="AD7" s="478">
        <v>540</v>
      </c>
      <c r="AE7" s="478">
        <v>540</v>
      </c>
      <c r="AF7" s="478"/>
      <c r="AG7" s="478">
        <v>1400</v>
      </c>
      <c r="AH7" s="108">
        <f>SUM(C7:AG7)</f>
        <v>37120</v>
      </c>
      <c r="AI7" s="62"/>
      <c r="AJ7" s="162" t="s">
        <v>152</v>
      </c>
      <c r="AK7" s="163" t="s">
        <v>222</v>
      </c>
      <c r="AM7" s="479"/>
    </row>
    <row r="8" spans="1:39" s="465" customFormat="1" x14ac:dyDescent="0.25">
      <c r="A8" s="162" t="s">
        <v>157</v>
      </c>
      <c r="B8" s="163" t="s">
        <v>229</v>
      </c>
      <c r="C8" s="477"/>
      <c r="D8" s="478">
        <v>1400</v>
      </c>
      <c r="E8" s="478"/>
      <c r="F8" s="478"/>
      <c r="G8" s="478"/>
      <c r="H8" s="478"/>
      <c r="I8" s="478"/>
      <c r="J8" s="478"/>
      <c r="K8" s="478"/>
      <c r="L8" s="478"/>
      <c r="M8" s="478"/>
      <c r="N8" s="478"/>
      <c r="O8" s="478"/>
      <c r="P8" s="478"/>
      <c r="Q8" s="478"/>
      <c r="R8" s="478"/>
      <c r="S8" s="478"/>
      <c r="T8" s="478"/>
      <c r="U8" s="478"/>
      <c r="V8" s="478"/>
      <c r="W8" s="478"/>
      <c r="X8" s="478"/>
      <c r="Y8" s="478"/>
      <c r="Z8" s="478"/>
      <c r="AA8" s="478"/>
      <c r="AB8" s="478"/>
      <c r="AC8" s="478"/>
      <c r="AD8" s="478"/>
      <c r="AE8" s="478"/>
      <c r="AF8" s="478"/>
      <c r="AG8" s="478"/>
      <c r="AH8" s="108">
        <f t="shared" ref="AH8:AH13" si="2">SUM(C8:AG8)</f>
        <v>1400</v>
      </c>
      <c r="AI8" s="62"/>
      <c r="AJ8" s="162" t="s">
        <v>157</v>
      </c>
      <c r="AK8" s="163" t="s">
        <v>158</v>
      </c>
      <c r="AM8" s="479"/>
    </row>
    <row r="9" spans="1:39" x14ac:dyDescent="0.25">
      <c r="A9" s="69" t="s">
        <v>173</v>
      </c>
      <c r="B9" s="70" t="s">
        <v>63</v>
      </c>
      <c r="C9" s="71">
        <v>873</v>
      </c>
      <c r="D9" s="72">
        <v>747</v>
      </c>
      <c r="E9" s="72">
        <v>953</v>
      </c>
      <c r="F9" s="72">
        <v>1076</v>
      </c>
      <c r="G9" s="72">
        <v>891</v>
      </c>
      <c r="H9" s="72">
        <v>833</v>
      </c>
      <c r="I9" s="72">
        <v>884</v>
      </c>
      <c r="J9" s="72">
        <v>610</v>
      </c>
      <c r="K9" s="72">
        <v>608</v>
      </c>
      <c r="L9" s="72">
        <v>25</v>
      </c>
      <c r="M9" s="72">
        <v>545</v>
      </c>
      <c r="N9" s="72">
        <v>691</v>
      </c>
      <c r="O9" s="72">
        <v>396</v>
      </c>
      <c r="P9" s="72">
        <v>318</v>
      </c>
      <c r="Q9" s="72">
        <v>325</v>
      </c>
      <c r="R9" s="72">
        <v>650</v>
      </c>
      <c r="S9" s="72">
        <v>160</v>
      </c>
      <c r="T9" s="72">
        <v>260</v>
      </c>
      <c r="U9" s="72">
        <v>536</v>
      </c>
      <c r="V9" s="72">
        <v>386</v>
      </c>
      <c r="W9" s="72">
        <v>231</v>
      </c>
      <c r="X9" s="72">
        <v>30</v>
      </c>
      <c r="Y9" s="72"/>
      <c r="Z9" s="72">
        <v>95</v>
      </c>
      <c r="AA9" s="72">
        <v>219</v>
      </c>
      <c r="AB9" s="72"/>
      <c r="AC9" s="72">
        <v>274</v>
      </c>
      <c r="AD9" s="72">
        <v>100</v>
      </c>
      <c r="AE9" s="72"/>
      <c r="AF9" s="72"/>
      <c r="AG9" s="72"/>
      <c r="AH9" s="108">
        <f>SUM(C9:AG9)</f>
        <v>12716</v>
      </c>
      <c r="AJ9" s="69" t="s">
        <v>173</v>
      </c>
      <c r="AK9" s="70" t="s">
        <v>63</v>
      </c>
      <c r="AM9" s="210"/>
    </row>
    <row r="10" spans="1:39" s="465" customFormat="1" x14ac:dyDescent="0.25">
      <c r="A10" s="162" t="s">
        <v>159</v>
      </c>
      <c r="B10" s="163" t="s">
        <v>230</v>
      </c>
      <c r="C10" s="477"/>
      <c r="D10" s="478"/>
      <c r="E10" s="478"/>
      <c r="F10" s="478"/>
      <c r="G10" s="478"/>
      <c r="H10" s="478"/>
      <c r="I10" s="478"/>
      <c r="J10" s="478"/>
      <c r="K10" s="478"/>
      <c r="L10" s="478"/>
      <c r="M10" s="478"/>
      <c r="N10" s="478"/>
      <c r="O10" s="478"/>
      <c r="P10" s="478"/>
      <c r="Q10" s="478"/>
      <c r="R10" s="478"/>
      <c r="S10" s="478"/>
      <c r="T10" s="478"/>
      <c r="U10" s="478"/>
      <c r="V10" s="478"/>
      <c r="W10" s="478"/>
      <c r="X10" s="478"/>
      <c r="Y10" s="478"/>
      <c r="Z10" s="478"/>
      <c r="AA10" s="478"/>
      <c r="AB10" s="478"/>
      <c r="AC10" s="478"/>
      <c r="AD10" s="478"/>
      <c r="AE10" s="478"/>
      <c r="AF10" s="478"/>
      <c r="AG10" s="478"/>
      <c r="AH10" s="108">
        <f t="shared" si="2"/>
        <v>0</v>
      </c>
      <c r="AI10" s="62"/>
      <c r="AJ10" s="162" t="s">
        <v>159</v>
      </c>
      <c r="AK10" s="163" t="s">
        <v>160</v>
      </c>
      <c r="AM10" s="479"/>
    </row>
    <row r="11" spans="1:39" s="465" customFormat="1" hidden="1" x14ac:dyDescent="0.25">
      <c r="A11" s="162" t="s">
        <v>153</v>
      </c>
      <c r="B11" s="163" t="s">
        <v>154</v>
      </c>
      <c r="C11" s="477"/>
      <c r="D11" s="478"/>
      <c r="E11" s="478"/>
      <c r="F11" s="478"/>
      <c r="G11" s="478"/>
      <c r="H11" s="478"/>
      <c r="I11" s="478"/>
      <c r="J11" s="478"/>
      <c r="K11" s="478"/>
      <c r="L11" s="478"/>
      <c r="M11" s="478"/>
      <c r="N11" s="478"/>
      <c r="O11" s="478"/>
      <c r="P11" s="478"/>
      <c r="Q11" s="478"/>
      <c r="R11" s="478"/>
      <c r="S11" s="478"/>
      <c r="T11" s="478"/>
      <c r="U11" s="478"/>
      <c r="V11" s="478"/>
      <c r="W11" s="478"/>
      <c r="X11" s="478"/>
      <c r="Y11" s="478"/>
      <c r="Z11" s="478"/>
      <c r="AA11" s="478"/>
      <c r="AB11" s="478"/>
      <c r="AC11" s="478"/>
      <c r="AD11" s="478"/>
      <c r="AE11" s="478"/>
      <c r="AF11" s="478"/>
      <c r="AG11" s="478"/>
      <c r="AH11" s="108">
        <f t="shared" si="2"/>
        <v>0</v>
      </c>
      <c r="AI11" s="62"/>
      <c r="AJ11" s="162" t="s">
        <v>153</v>
      </c>
      <c r="AK11" s="163" t="s">
        <v>154</v>
      </c>
      <c r="AM11" s="479"/>
    </row>
    <row r="12" spans="1:39" s="465" customFormat="1" hidden="1" x14ac:dyDescent="0.25">
      <c r="A12" s="162" t="s">
        <v>164</v>
      </c>
      <c r="B12" s="163" t="s">
        <v>165</v>
      </c>
      <c r="C12" s="477"/>
      <c r="D12" s="478"/>
      <c r="E12" s="478"/>
      <c r="F12" s="478"/>
      <c r="G12" s="478"/>
      <c r="H12" s="478"/>
      <c r="I12" s="478"/>
      <c r="J12" s="478"/>
      <c r="K12" s="478"/>
      <c r="L12" s="478"/>
      <c r="M12" s="478"/>
      <c r="N12" s="478"/>
      <c r="O12" s="478"/>
      <c r="P12" s="478"/>
      <c r="Q12" s="478"/>
      <c r="R12" s="478"/>
      <c r="S12" s="478"/>
      <c r="T12" s="478"/>
      <c r="U12" s="478"/>
      <c r="V12" s="478"/>
      <c r="W12" s="478"/>
      <c r="X12" s="478"/>
      <c r="Y12" s="478"/>
      <c r="Z12" s="478"/>
      <c r="AA12" s="478"/>
      <c r="AB12" s="478"/>
      <c r="AC12" s="478"/>
      <c r="AD12" s="478"/>
      <c r="AE12" s="478"/>
      <c r="AF12" s="478"/>
      <c r="AG12" s="478"/>
      <c r="AH12" s="108">
        <f t="shared" si="2"/>
        <v>0</v>
      </c>
      <c r="AI12" s="62"/>
      <c r="AJ12" s="162" t="s">
        <v>164</v>
      </c>
      <c r="AK12" s="163" t="s">
        <v>165</v>
      </c>
      <c r="AM12" s="479"/>
    </row>
    <row r="13" spans="1:39" s="465" customFormat="1" hidden="1" x14ac:dyDescent="0.25">
      <c r="A13" s="162" t="s">
        <v>166</v>
      </c>
      <c r="B13" s="163" t="s">
        <v>167</v>
      </c>
      <c r="C13" s="477"/>
      <c r="D13" s="478"/>
      <c r="E13" s="478"/>
      <c r="F13" s="478"/>
      <c r="G13" s="478"/>
      <c r="H13" s="478"/>
      <c r="I13" s="478"/>
      <c r="J13" s="478"/>
      <c r="K13" s="478"/>
      <c r="L13" s="478"/>
      <c r="M13" s="478"/>
      <c r="N13" s="478"/>
      <c r="O13" s="478"/>
      <c r="P13" s="478"/>
      <c r="Q13" s="478"/>
      <c r="R13" s="478"/>
      <c r="S13" s="478"/>
      <c r="T13" s="478"/>
      <c r="U13" s="478"/>
      <c r="V13" s="478"/>
      <c r="W13" s="478"/>
      <c r="X13" s="478"/>
      <c r="Y13" s="478"/>
      <c r="Z13" s="478"/>
      <c r="AA13" s="478"/>
      <c r="AB13" s="478"/>
      <c r="AC13" s="478"/>
      <c r="AD13" s="478"/>
      <c r="AE13" s="478"/>
      <c r="AF13" s="478"/>
      <c r="AG13" s="478"/>
      <c r="AH13" s="108">
        <f t="shared" si="2"/>
        <v>0</v>
      </c>
      <c r="AI13" s="62"/>
      <c r="AJ13" s="162" t="s">
        <v>166</v>
      </c>
      <c r="AK13" s="163" t="s">
        <v>167</v>
      </c>
      <c r="AM13" s="479"/>
    </row>
    <row r="14" spans="1:39" s="465" customFormat="1" x14ac:dyDescent="0.25">
      <c r="A14" s="162" t="s">
        <v>34</v>
      </c>
      <c r="B14" s="163" t="s">
        <v>227</v>
      </c>
      <c r="C14" s="477">
        <v>44</v>
      </c>
      <c r="D14" s="478">
        <v>239</v>
      </c>
      <c r="E14" s="478">
        <v>89</v>
      </c>
      <c r="F14" s="478">
        <v>470</v>
      </c>
      <c r="G14" s="478">
        <v>133</v>
      </c>
      <c r="H14" s="478">
        <v>24</v>
      </c>
      <c r="I14" s="478">
        <v>52</v>
      </c>
      <c r="J14" s="478">
        <v>228</v>
      </c>
      <c r="K14" s="478">
        <v>147</v>
      </c>
      <c r="L14" s="478">
        <v>60</v>
      </c>
      <c r="M14" s="478">
        <v>36</v>
      </c>
      <c r="N14" s="478">
        <v>189</v>
      </c>
      <c r="O14" s="478">
        <v>56</v>
      </c>
      <c r="P14" s="478">
        <v>144</v>
      </c>
      <c r="Q14" s="478">
        <v>98</v>
      </c>
      <c r="R14" s="478">
        <v>69</v>
      </c>
      <c r="S14" s="478">
        <v>68</v>
      </c>
      <c r="T14" s="478">
        <v>66</v>
      </c>
      <c r="U14" s="478">
        <v>28</v>
      </c>
      <c r="V14" s="478">
        <v>16</v>
      </c>
      <c r="W14" s="478">
        <v>172</v>
      </c>
      <c r="X14" s="478">
        <v>60</v>
      </c>
      <c r="Y14" s="478">
        <v>104</v>
      </c>
      <c r="Z14" s="478">
        <v>16</v>
      </c>
      <c r="AA14" s="478">
        <v>75</v>
      </c>
      <c r="AB14" s="478">
        <v>78</v>
      </c>
      <c r="AC14" s="478">
        <v>56</v>
      </c>
      <c r="AD14" s="478">
        <v>36</v>
      </c>
      <c r="AE14" s="478">
        <v>36</v>
      </c>
      <c r="AF14" s="478">
        <v>131</v>
      </c>
      <c r="AG14" s="478">
        <v>40</v>
      </c>
      <c r="AH14" s="108">
        <f t="shared" si="1"/>
        <v>3060</v>
      </c>
      <c r="AI14" s="62"/>
      <c r="AJ14" s="162" t="s">
        <v>34</v>
      </c>
      <c r="AK14" s="163" t="s">
        <v>35</v>
      </c>
    </row>
    <row r="15" spans="1:39" s="465" customFormat="1" x14ac:dyDescent="0.25">
      <c r="A15" s="162" t="s">
        <v>36</v>
      </c>
      <c r="B15" s="163" t="s">
        <v>37</v>
      </c>
      <c r="C15" s="477">
        <v>784.64</v>
      </c>
      <c r="D15" s="478">
        <v>748.39</v>
      </c>
      <c r="E15" s="478">
        <v>793.62</v>
      </c>
      <c r="F15" s="478">
        <v>1000.92</v>
      </c>
      <c r="G15" s="478">
        <v>934.92</v>
      </c>
      <c r="H15" s="478">
        <v>728.1</v>
      </c>
      <c r="I15" s="478">
        <v>728.6</v>
      </c>
      <c r="J15" s="478">
        <v>511.39</v>
      </c>
      <c r="K15" s="478">
        <v>630.89</v>
      </c>
      <c r="L15" s="478">
        <v>493.95</v>
      </c>
      <c r="M15" s="478">
        <v>696.12</v>
      </c>
      <c r="N15" s="478">
        <v>603.84</v>
      </c>
      <c r="O15" s="478">
        <v>573.87</v>
      </c>
      <c r="P15" s="478">
        <v>246.37</v>
      </c>
      <c r="Q15" s="478">
        <v>488.02</v>
      </c>
      <c r="R15" s="478">
        <v>575.94000000000005</v>
      </c>
      <c r="S15" s="478">
        <v>344.59</v>
      </c>
      <c r="T15" s="478">
        <v>630.54999999999995</v>
      </c>
      <c r="U15" s="478">
        <v>909.23</v>
      </c>
      <c r="V15" s="478">
        <v>712.93</v>
      </c>
      <c r="W15" s="478">
        <v>374.15</v>
      </c>
      <c r="X15" s="478">
        <v>265.83</v>
      </c>
      <c r="Y15" s="478">
        <v>324.66000000000003</v>
      </c>
      <c r="Z15" s="478">
        <v>281.81</v>
      </c>
      <c r="AA15" s="478">
        <v>372.94</v>
      </c>
      <c r="AB15" s="478">
        <v>518.13</v>
      </c>
      <c r="AC15" s="478">
        <v>476.79</v>
      </c>
      <c r="AD15" s="478">
        <v>360.63</v>
      </c>
      <c r="AE15" s="478">
        <v>211.44</v>
      </c>
      <c r="AF15" s="478">
        <v>298.77999999999997</v>
      </c>
      <c r="AG15" s="478">
        <v>313.18</v>
      </c>
      <c r="AH15" s="108">
        <f t="shared" si="1"/>
        <v>16935.22</v>
      </c>
      <c r="AI15" s="62"/>
      <c r="AJ15" s="162" t="s">
        <v>36</v>
      </c>
      <c r="AK15" s="163" t="s">
        <v>37</v>
      </c>
    </row>
    <row r="16" spans="1:39" s="465" customFormat="1" hidden="1" x14ac:dyDescent="0.25">
      <c r="A16" s="162" t="s">
        <v>194</v>
      </c>
      <c r="B16" s="163" t="s">
        <v>111</v>
      </c>
      <c r="C16" s="477"/>
      <c r="D16" s="478"/>
      <c r="E16" s="478"/>
      <c r="F16" s="478"/>
      <c r="G16" s="478"/>
      <c r="H16" s="478"/>
      <c r="I16" s="478"/>
      <c r="J16" s="478"/>
      <c r="K16" s="478"/>
      <c r="L16" s="478"/>
      <c r="M16" s="478"/>
      <c r="N16" s="478"/>
      <c r="O16" s="478"/>
      <c r="P16" s="478"/>
      <c r="Q16" s="478"/>
      <c r="R16" s="478"/>
      <c r="S16" s="478"/>
      <c r="T16" s="478"/>
      <c r="U16" s="478"/>
      <c r="V16" s="478"/>
      <c r="W16" s="478"/>
      <c r="X16" s="478"/>
      <c r="Y16" s="478"/>
      <c r="Z16" s="478"/>
      <c r="AA16" s="478"/>
      <c r="AB16" s="478"/>
      <c r="AC16" s="478"/>
      <c r="AD16" s="478"/>
      <c r="AE16" s="478"/>
      <c r="AF16" s="478"/>
      <c r="AG16" s="478"/>
      <c r="AH16" s="108">
        <f t="shared" si="1"/>
        <v>0</v>
      </c>
      <c r="AI16" s="62"/>
      <c r="AJ16" s="162" t="s">
        <v>110</v>
      </c>
      <c r="AK16" s="163" t="s">
        <v>111</v>
      </c>
    </row>
    <row r="17" spans="1:39" s="465" customFormat="1" x14ac:dyDescent="0.25">
      <c r="A17" s="162" t="s">
        <v>36</v>
      </c>
      <c r="B17" s="163" t="s">
        <v>225</v>
      </c>
      <c r="C17" s="477"/>
      <c r="D17" s="478"/>
      <c r="E17" s="478"/>
      <c r="F17" s="478"/>
      <c r="G17" s="478"/>
      <c r="H17" s="478"/>
      <c r="I17" s="478"/>
      <c r="J17" s="478"/>
      <c r="K17" s="478"/>
      <c r="L17" s="478"/>
      <c r="M17" s="478"/>
      <c r="N17" s="478"/>
      <c r="O17" s="478"/>
      <c r="P17" s="478"/>
      <c r="Q17" s="478"/>
      <c r="R17" s="478">
        <v>29.35</v>
      </c>
      <c r="S17" s="478">
        <v>55.95</v>
      </c>
      <c r="T17" s="478">
        <v>41.95</v>
      </c>
      <c r="U17" s="478">
        <v>47.65</v>
      </c>
      <c r="V17" s="478">
        <v>34.4</v>
      </c>
      <c r="W17" s="478">
        <v>22.7</v>
      </c>
      <c r="X17" s="478">
        <v>27.55</v>
      </c>
      <c r="Y17" s="478">
        <v>21.55</v>
      </c>
      <c r="Z17" s="478">
        <v>43.6</v>
      </c>
      <c r="AA17" s="478">
        <v>31</v>
      </c>
      <c r="AB17" s="478">
        <v>26.15</v>
      </c>
      <c r="AC17" s="478">
        <v>24.1</v>
      </c>
      <c r="AD17" s="478">
        <v>13.95</v>
      </c>
      <c r="AE17" s="478">
        <v>2.75</v>
      </c>
      <c r="AF17" s="478">
        <v>16.3</v>
      </c>
      <c r="AG17" s="478">
        <v>4.3499999999999996</v>
      </c>
      <c r="AH17" s="108">
        <f t="shared" si="1"/>
        <v>443.30000000000007</v>
      </c>
      <c r="AI17" s="62"/>
      <c r="AJ17" s="162" t="s">
        <v>36</v>
      </c>
      <c r="AK17" s="163" t="s">
        <v>225</v>
      </c>
    </row>
    <row r="18" spans="1:39" s="465" customFormat="1" x14ac:dyDescent="0.25">
      <c r="A18" s="162" t="s">
        <v>77</v>
      </c>
      <c r="B18" s="163" t="s">
        <v>193</v>
      </c>
      <c r="C18" s="477">
        <v>24</v>
      </c>
      <c r="D18" s="478">
        <v>118</v>
      </c>
      <c r="E18" s="478">
        <v>24</v>
      </c>
      <c r="F18" s="478">
        <v>364</v>
      </c>
      <c r="G18" s="478">
        <v>24</v>
      </c>
      <c r="H18" s="478">
        <v>119.5</v>
      </c>
      <c r="I18" s="478">
        <v>120</v>
      </c>
      <c r="J18" s="478">
        <v>259</v>
      </c>
      <c r="K18" s="478">
        <v>347</v>
      </c>
      <c r="L18" s="478">
        <v>174</v>
      </c>
      <c r="M18" s="478">
        <v>260</v>
      </c>
      <c r="N18" s="478">
        <v>135</v>
      </c>
      <c r="O18" s="478">
        <v>24</v>
      </c>
      <c r="P18" s="478">
        <v>444</v>
      </c>
      <c r="Q18" s="478">
        <v>296.5</v>
      </c>
      <c r="R18" s="478">
        <v>340</v>
      </c>
      <c r="S18" s="478">
        <v>299</v>
      </c>
      <c r="T18" s="478"/>
      <c r="U18" s="478">
        <v>60</v>
      </c>
      <c r="V18" s="478"/>
      <c r="W18" s="478">
        <v>72</v>
      </c>
      <c r="X18" s="478">
        <v>135</v>
      </c>
      <c r="Y18" s="478">
        <v>1224</v>
      </c>
      <c r="Z18" s="478">
        <v>210</v>
      </c>
      <c r="AA18" s="478">
        <v>210</v>
      </c>
      <c r="AB18" s="478">
        <v>165</v>
      </c>
      <c r="AC18" s="478">
        <v>480</v>
      </c>
      <c r="AD18" s="478">
        <v>150</v>
      </c>
      <c r="AE18" s="478"/>
      <c r="AF18" s="478">
        <v>246.5</v>
      </c>
      <c r="AG18" s="478">
        <v>385</v>
      </c>
      <c r="AH18" s="108">
        <f t="shared" si="1"/>
        <v>6709.5</v>
      </c>
      <c r="AI18" s="62"/>
      <c r="AJ18" s="162" t="s">
        <v>77</v>
      </c>
      <c r="AK18" s="163" t="s">
        <v>78</v>
      </c>
      <c r="AL18" s="479"/>
    </row>
    <row r="19" spans="1:39" s="465" customFormat="1" hidden="1" x14ac:dyDescent="0.25">
      <c r="A19" s="162" t="s">
        <v>38</v>
      </c>
      <c r="B19" s="163" t="s">
        <v>39</v>
      </c>
      <c r="C19" s="477"/>
      <c r="D19" s="478"/>
      <c r="E19" s="478"/>
      <c r="F19" s="478"/>
      <c r="G19" s="478"/>
      <c r="H19" s="478"/>
      <c r="I19" s="478"/>
      <c r="J19" s="478"/>
      <c r="K19" s="478"/>
      <c r="L19" s="478"/>
      <c r="M19" s="478"/>
      <c r="N19" s="478"/>
      <c r="O19" s="478"/>
      <c r="P19" s="478"/>
      <c r="Q19" s="478"/>
      <c r="R19" s="478"/>
      <c r="S19" s="478"/>
      <c r="T19" s="478"/>
      <c r="U19" s="478"/>
      <c r="V19" s="478"/>
      <c r="W19" s="478"/>
      <c r="X19" s="478"/>
      <c r="Y19" s="478"/>
      <c r="Z19" s="478"/>
      <c r="AA19" s="478"/>
      <c r="AB19" s="478"/>
      <c r="AC19" s="478"/>
      <c r="AD19" s="478"/>
      <c r="AE19" s="478"/>
      <c r="AF19" s="478"/>
      <c r="AG19" s="478"/>
      <c r="AH19" s="108">
        <f t="shared" si="1"/>
        <v>0</v>
      </c>
      <c r="AI19" s="62"/>
      <c r="AJ19" s="162" t="s">
        <v>38</v>
      </c>
      <c r="AK19" s="163" t="s">
        <v>39</v>
      </c>
    </row>
    <row r="20" spans="1:39" s="465" customFormat="1" x14ac:dyDescent="0.25">
      <c r="A20" s="162" t="s">
        <v>40</v>
      </c>
      <c r="B20" s="163" t="s">
        <v>228</v>
      </c>
      <c r="C20" s="477"/>
      <c r="D20" s="478"/>
      <c r="E20" s="478"/>
      <c r="F20" s="478"/>
      <c r="G20" s="478"/>
      <c r="H20" s="478"/>
      <c r="I20" s="478">
        <v>270</v>
      </c>
      <c r="J20" s="478">
        <v>225</v>
      </c>
      <c r="K20" s="478"/>
      <c r="L20" s="478"/>
      <c r="M20" s="478"/>
      <c r="N20" s="478"/>
      <c r="O20" s="478"/>
      <c r="P20" s="478"/>
      <c r="Q20" s="478"/>
      <c r="R20" s="478"/>
      <c r="S20" s="478"/>
      <c r="T20" s="478">
        <v>-45</v>
      </c>
      <c r="U20" s="478"/>
      <c r="V20" s="478"/>
      <c r="W20" s="478"/>
      <c r="X20" s="478"/>
      <c r="Y20" s="478"/>
      <c r="Z20" s="478"/>
      <c r="AA20" s="478"/>
      <c r="AB20" s="478"/>
      <c r="AC20" s="478"/>
      <c r="AD20" s="478"/>
      <c r="AE20" s="478"/>
      <c r="AF20" s="478"/>
      <c r="AG20" s="478"/>
      <c r="AH20" s="108">
        <f>SUM(C20:AG20)</f>
        <v>450</v>
      </c>
      <c r="AI20" s="62"/>
      <c r="AJ20" s="162" t="s">
        <v>40</v>
      </c>
      <c r="AK20" s="163" t="s">
        <v>41</v>
      </c>
    </row>
    <row r="21" spans="1:39" s="465" customFormat="1" x14ac:dyDescent="0.25">
      <c r="A21" s="162" t="s">
        <v>161</v>
      </c>
      <c r="B21" s="163" t="s">
        <v>162</v>
      </c>
      <c r="C21" s="477"/>
      <c r="D21" s="478">
        <v>5</v>
      </c>
      <c r="E21" s="478"/>
      <c r="F21" s="478"/>
      <c r="G21" s="478"/>
      <c r="H21" s="478"/>
      <c r="I21" s="478"/>
      <c r="J21" s="478"/>
      <c r="K21" s="478"/>
      <c r="L21" s="478"/>
      <c r="M21" s="478">
        <v>5</v>
      </c>
      <c r="N21" s="478"/>
      <c r="O21" s="478"/>
      <c r="P21" s="478"/>
      <c r="Q21" s="478"/>
      <c r="R21" s="478"/>
      <c r="S21" s="478"/>
      <c r="T21" s="478"/>
      <c r="U21" s="478"/>
      <c r="V21" s="478"/>
      <c r="W21" s="478">
        <v>15</v>
      </c>
      <c r="X21" s="478"/>
      <c r="Y21" s="478"/>
      <c r="Z21" s="478"/>
      <c r="AA21" s="478"/>
      <c r="AB21" s="478"/>
      <c r="AC21" s="478"/>
      <c r="AD21" s="478"/>
      <c r="AE21" s="478"/>
      <c r="AF21" s="478">
        <v>10</v>
      </c>
      <c r="AG21" s="478"/>
      <c r="AH21" s="108">
        <f t="shared" si="1"/>
        <v>35</v>
      </c>
      <c r="AI21" s="62"/>
      <c r="AJ21" s="162" t="s">
        <v>161</v>
      </c>
      <c r="AK21" s="163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10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>
        <v>52</v>
      </c>
      <c r="X28" s="80"/>
      <c r="Y28" s="80"/>
      <c r="Z28" s="80"/>
      <c r="AA28" s="80"/>
      <c r="AB28" s="80"/>
      <c r="AC28" s="80">
        <v>52</v>
      </c>
      <c r="AD28" s="80"/>
      <c r="AE28" s="80"/>
      <c r="AF28" s="80"/>
      <c r="AG28" s="80"/>
      <c r="AH28" s="108">
        <f t="shared" si="1"/>
        <v>104</v>
      </c>
      <c r="AJ28" s="81" t="s">
        <v>109</v>
      </c>
      <c r="AK28" s="82" t="s">
        <v>85</v>
      </c>
      <c r="AL28" s="210"/>
    </row>
    <row r="29" spans="1:39" s="60" customFormat="1" ht="13.5" thickBot="1" x14ac:dyDescent="0.25">
      <c r="A29" s="199"/>
      <c r="B29" s="84" t="s">
        <v>64</v>
      </c>
      <c r="C29" s="107">
        <f t="shared" ref="C29:AG29" si="3">SUM(C3:C28)</f>
        <v>18450.78</v>
      </c>
      <c r="D29" s="107">
        <f t="shared" si="3"/>
        <v>18507.879999999997</v>
      </c>
      <c r="E29" s="107">
        <f t="shared" si="3"/>
        <v>18237.87</v>
      </c>
      <c r="F29" s="107">
        <f t="shared" si="3"/>
        <v>20877.32</v>
      </c>
      <c r="G29" s="107">
        <f t="shared" si="3"/>
        <v>21490.07</v>
      </c>
      <c r="H29" s="107">
        <f t="shared" si="3"/>
        <v>20274.699999999997</v>
      </c>
      <c r="I29" s="107">
        <f t="shared" si="3"/>
        <v>17388.91</v>
      </c>
      <c r="J29" s="107">
        <f t="shared" si="3"/>
        <v>17228.79</v>
      </c>
      <c r="K29" s="107">
        <f t="shared" si="3"/>
        <v>11541.779999999999</v>
      </c>
      <c r="L29" s="107">
        <f t="shared" si="3"/>
        <v>11506.140000000001</v>
      </c>
      <c r="M29" s="107">
        <f t="shared" si="3"/>
        <v>17161.47</v>
      </c>
      <c r="N29" s="107">
        <f t="shared" si="3"/>
        <v>20661.690000000002</v>
      </c>
      <c r="O29" s="107">
        <f t="shared" si="3"/>
        <v>14592.800000000001</v>
      </c>
      <c r="P29" s="107">
        <f t="shared" si="3"/>
        <v>8587.98</v>
      </c>
      <c r="Q29" s="107">
        <f t="shared" si="3"/>
        <v>10184.02</v>
      </c>
      <c r="R29" s="107">
        <f t="shared" si="3"/>
        <v>12523.37</v>
      </c>
      <c r="S29" s="107">
        <f t="shared" si="3"/>
        <v>7896.08</v>
      </c>
      <c r="T29" s="107">
        <f t="shared" si="3"/>
        <v>12095.28</v>
      </c>
      <c r="U29" s="107">
        <f t="shared" si="3"/>
        <v>19187.93</v>
      </c>
      <c r="V29" s="107">
        <f t="shared" si="3"/>
        <v>12476.75</v>
      </c>
      <c r="W29" s="107">
        <f t="shared" si="3"/>
        <v>8840.93</v>
      </c>
      <c r="X29" s="107">
        <f t="shared" si="3"/>
        <v>7608.97</v>
      </c>
      <c r="Y29" s="107">
        <f t="shared" si="3"/>
        <v>9470.32</v>
      </c>
      <c r="Z29" s="107">
        <f t="shared" si="3"/>
        <v>7606.1500000000015</v>
      </c>
      <c r="AA29" s="107">
        <f t="shared" si="3"/>
        <v>8155.79</v>
      </c>
      <c r="AB29" s="107">
        <f t="shared" si="3"/>
        <v>12793.949999999999</v>
      </c>
      <c r="AC29" s="107">
        <f t="shared" si="3"/>
        <v>12977.29</v>
      </c>
      <c r="AD29" s="107">
        <f t="shared" si="3"/>
        <v>7508.41</v>
      </c>
      <c r="AE29" s="107">
        <f t="shared" si="3"/>
        <v>6108.9199999999992</v>
      </c>
      <c r="AF29" s="107">
        <f t="shared" si="3"/>
        <v>6128.93</v>
      </c>
      <c r="AG29" s="107">
        <f t="shared" si="3"/>
        <v>8521.4200000000019</v>
      </c>
      <c r="AH29" s="109">
        <f>SUM(C3:AG28)</f>
        <v>406592.69000000006</v>
      </c>
      <c r="AI29" s="85"/>
      <c r="AJ29" s="275"/>
      <c r="AK29" s="276" t="s">
        <v>64</v>
      </c>
    </row>
    <row r="30" spans="1:39" s="60" customFormat="1" ht="13.5" thickBot="1" x14ac:dyDescent="0.25">
      <c r="A30" s="200"/>
      <c r="B30" s="91" t="s">
        <v>104</v>
      </c>
      <c r="C30" s="72">
        <v>18450.78</v>
      </c>
      <c r="D30" s="72">
        <v>18507.88</v>
      </c>
      <c r="E30" s="72">
        <v>18237.87</v>
      </c>
      <c r="F30" s="72">
        <v>20877.32</v>
      </c>
      <c r="G30" s="72">
        <v>21490.07</v>
      </c>
      <c r="H30" s="72">
        <v>20274.7</v>
      </c>
      <c r="I30" s="72">
        <v>17388.91</v>
      </c>
      <c r="J30" s="72">
        <v>17228.79</v>
      </c>
      <c r="K30" s="72">
        <v>11541.78</v>
      </c>
      <c r="L30" s="72">
        <v>11506.14</v>
      </c>
      <c r="M30" s="72">
        <v>17161.47</v>
      </c>
      <c r="N30" s="72">
        <v>20661.689999999999</v>
      </c>
      <c r="O30" s="72">
        <v>14592.8</v>
      </c>
      <c r="P30" s="72">
        <v>8587.98</v>
      </c>
      <c r="Q30" s="72">
        <v>10184.02</v>
      </c>
      <c r="R30" s="72">
        <v>12523.37</v>
      </c>
      <c r="S30" s="72">
        <v>7896.08</v>
      </c>
      <c r="T30" s="72">
        <v>12095.28</v>
      </c>
      <c r="U30" s="72">
        <v>19187.93</v>
      </c>
      <c r="V30" s="72">
        <v>12476.75</v>
      </c>
      <c r="W30" s="72">
        <v>8840.93</v>
      </c>
      <c r="X30" s="72">
        <v>7608.97</v>
      </c>
      <c r="Y30" s="72">
        <v>9470.32</v>
      </c>
      <c r="Z30" s="72">
        <v>7606.15</v>
      </c>
      <c r="AA30" s="72">
        <v>8155.79</v>
      </c>
      <c r="AB30" s="72">
        <v>12793.95</v>
      </c>
      <c r="AC30" s="72">
        <v>12977.29</v>
      </c>
      <c r="AD30" s="72">
        <v>7508.41</v>
      </c>
      <c r="AE30" s="72">
        <v>6108.92</v>
      </c>
      <c r="AF30" s="72">
        <v>6128.93</v>
      </c>
      <c r="AG30" s="72">
        <v>8521.42</v>
      </c>
      <c r="AH30" s="191">
        <f>SUM(C30:AG30)</f>
        <v>406592.68999999989</v>
      </c>
      <c r="AI30" s="85"/>
      <c r="AJ30" s="190"/>
      <c r="AK30" s="190"/>
    </row>
    <row r="31" spans="1:39" s="60" customFormat="1" thickBot="1" x14ac:dyDescent="0.3">
      <c r="A31" s="201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7">
        <f t="shared" si="4"/>
        <v>0</v>
      </c>
      <c r="AI31" s="85"/>
      <c r="AJ31" s="507" t="s">
        <v>127</v>
      </c>
      <c r="AK31" s="508"/>
      <c r="AL31" s="508"/>
      <c r="AM31" s="509"/>
    </row>
    <row r="32" spans="1:39" ht="16.5" thickBot="1" x14ac:dyDescent="0.3">
      <c r="A32" s="195"/>
      <c r="B32" s="196"/>
      <c r="C32" s="197"/>
      <c r="D32" s="196"/>
      <c r="E32" s="196"/>
      <c r="F32" s="196"/>
      <c r="G32" s="196"/>
      <c r="H32" s="278"/>
      <c r="I32" s="196"/>
      <c r="J32" s="196"/>
      <c r="K32" s="196"/>
      <c r="L32" s="196"/>
      <c r="M32" s="196"/>
      <c r="N32" s="196"/>
      <c r="O32" s="196"/>
      <c r="P32" s="196"/>
      <c r="Q32" s="196"/>
      <c r="R32" s="263"/>
      <c r="S32" s="196"/>
      <c r="T32" s="196"/>
      <c r="U32" s="196"/>
      <c r="V32" s="196"/>
      <c r="W32" s="196"/>
      <c r="X32" s="196"/>
      <c r="Y32" s="197"/>
      <c r="Z32" s="196"/>
      <c r="AA32" s="196"/>
      <c r="AB32" s="196"/>
      <c r="AC32" s="196"/>
      <c r="AD32" s="196"/>
      <c r="AE32" s="196"/>
      <c r="AF32" s="196"/>
      <c r="AG32" s="196"/>
      <c r="AH32" s="198"/>
      <c r="AJ32" s="282" t="s">
        <v>66</v>
      </c>
      <c r="AK32" s="283" t="s">
        <v>128</v>
      </c>
      <c r="AL32" s="283" t="s">
        <v>120</v>
      </c>
      <c r="AM32" s="284" t="s">
        <v>121</v>
      </c>
    </row>
    <row r="33" spans="1:40" x14ac:dyDescent="0.25">
      <c r="A33" s="89" t="s">
        <v>60</v>
      </c>
      <c r="B33" s="84" t="s">
        <v>54</v>
      </c>
      <c r="C33" s="391">
        <v>1950.24</v>
      </c>
      <c r="D33" s="391">
        <v>3807.95</v>
      </c>
      <c r="E33" s="391">
        <v>1788</v>
      </c>
      <c r="F33" s="391">
        <v>2893.94</v>
      </c>
      <c r="G33" s="391">
        <v>2815.68</v>
      </c>
      <c r="H33" s="391">
        <v>3135.03</v>
      </c>
      <c r="I33" s="391">
        <v>3073.79</v>
      </c>
      <c r="J33" s="391">
        <v>2749.75</v>
      </c>
      <c r="K33" s="391">
        <v>1462.09</v>
      </c>
      <c r="L33" s="391">
        <v>1550.79</v>
      </c>
      <c r="M33" s="391">
        <v>2544.2600000000002</v>
      </c>
      <c r="N33" s="391">
        <v>3924.99</v>
      </c>
      <c r="O33" s="391">
        <v>2355.63</v>
      </c>
      <c r="P33" s="391">
        <v>1319.67</v>
      </c>
      <c r="Q33" s="391">
        <v>1459.12</v>
      </c>
      <c r="R33" s="391">
        <v>1634.29</v>
      </c>
      <c r="S33" s="391">
        <v>714.89</v>
      </c>
      <c r="T33" s="391">
        <v>2110.16</v>
      </c>
      <c r="U33" s="391">
        <v>3652.62</v>
      </c>
      <c r="V33" s="391">
        <v>1797.48</v>
      </c>
      <c r="W33" s="391">
        <v>1467.56</v>
      </c>
      <c r="X33" s="391">
        <v>1315.94</v>
      </c>
      <c r="Y33" s="391">
        <v>884.83</v>
      </c>
      <c r="Z33" s="391">
        <v>1092</v>
      </c>
      <c r="AA33" s="391">
        <v>1204.0999999999999</v>
      </c>
      <c r="AB33" s="391">
        <v>1571.09</v>
      </c>
      <c r="AC33" s="391">
        <v>1720.84</v>
      </c>
      <c r="AD33" s="391">
        <v>1076</v>
      </c>
      <c r="AE33" s="392">
        <v>1107.2</v>
      </c>
      <c r="AF33" s="392">
        <v>918</v>
      </c>
      <c r="AG33" s="392">
        <v>873.9</v>
      </c>
      <c r="AH33" s="110">
        <f>SUM(C33:AG33)</f>
        <v>59971.83</v>
      </c>
      <c r="AJ33" s="137" t="s">
        <v>60</v>
      </c>
      <c r="AK33" s="138" t="s">
        <v>122</v>
      </c>
      <c r="AL33" s="386">
        <f>SUM(C33:AD33)</f>
        <v>57072.73</v>
      </c>
      <c r="AM33" s="387">
        <f>SUM(AE33:AG33)</f>
        <v>2899.1</v>
      </c>
    </row>
    <row r="34" spans="1:40" x14ac:dyDescent="0.25">
      <c r="A34" s="90" t="s">
        <v>60</v>
      </c>
      <c r="B34" s="91" t="s">
        <v>55</v>
      </c>
      <c r="C34" s="482">
        <v>16528.759999999998</v>
      </c>
      <c r="D34" s="482">
        <v>14710.89</v>
      </c>
      <c r="E34" s="482">
        <v>16397.46</v>
      </c>
      <c r="F34" s="482">
        <v>17975.57</v>
      </c>
      <c r="G34" s="482">
        <v>18674.79</v>
      </c>
      <c r="H34" s="482">
        <v>17137.59</v>
      </c>
      <c r="I34" s="482">
        <f>14266.54+14266.54</f>
        <v>28533.08</v>
      </c>
      <c r="J34" s="482">
        <v>14500.5</v>
      </c>
      <c r="K34" s="482">
        <v>10066.459999999999</v>
      </c>
      <c r="L34" s="482">
        <v>9923.84</v>
      </c>
      <c r="M34" s="482">
        <v>14618.23</v>
      </c>
      <c r="N34" s="482">
        <v>16690.57</v>
      </c>
      <c r="O34" s="482">
        <v>12210.62</v>
      </c>
      <c r="P34" s="482">
        <v>7218.57</v>
      </c>
      <c r="Q34" s="482">
        <v>8786.26</v>
      </c>
      <c r="R34" s="482">
        <v>10889.32</v>
      </c>
      <c r="S34" s="482">
        <v>7207.55</v>
      </c>
      <c r="T34" s="482">
        <v>9985.15</v>
      </c>
      <c r="U34" s="482">
        <v>15535.44</v>
      </c>
      <c r="V34" s="482">
        <v>10684.29</v>
      </c>
      <c r="W34" s="482">
        <v>7369.33</v>
      </c>
      <c r="X34" s="482">
        <v>6302.03</v>
      </c>
      <c r="Y34" s="482">
        <v>8435.49</v>
      </c>
      <c r="Z34" s="482">
        <v>6514.15</v>
      </c>
      <c r="AA34" s="482">
        <v>6951.33</v>
      </c>
      <c r="AB34" s="482">
        <v>11232.64</v>
      </c>
      <c r="AC34" s="488">
        <v>11254.84</v>
      </c>
      <c r="AD34" s="488">
        <v>6432.37</v>
      </c>
      <c r="AE34" s="488">
        <v>4954.87</v>
      </c>
      <c r="AF34" s="488">
        <v>5210.12</v>
      </c>
      <c r="AG34" s="488">
        <v>7647.86</v>
      </c>
      <c r="AH34" s="111">
        <f t="shared" ref="AH34:AH38" si="5">SUM(C34:AG34)</f>
        <v>360579.97000000009</v>
      </c>
      <c r="AJ34" s="129" t="s">
        <v>60</v>
      </c>
      <c r="AK34" s="130" t="s">
        <v>198</v>
      </c>
      <c r="AL34" s="290">
        <f>SUM(C34:AB34)-AL45</f>
        <v>314864.9200000001</v>
      </c>
      <c r="AM34" s="291">
        <f>SUM(AC34:AG34)-AM45</f>
        <v>34386.409999999996</v>
      </c>
    </row>
    <row r="35" spans="1:40" x14ac:dyDescent="0.25">
      <c r="A35" s="92" t="s">
        <v>60</v>
      </c>
      <c r="B35" s="93" t="s">
        <v>97</v>
      </c>
      <c r="C35" s="380"/>
      <c r="D35" s="380"/>
      <c r="E35" s="380"/>
      <c r="F35" s="390"/>
      <c r="G35" s="380"/>
      <c r="H35" s="380"/>
      <c r="I35" s="380"/>
      <c r="J35" s="380"/>
      <c r="K35" s="380"/>
      <c r="L35" s="380"/>
      <c r="M35" s="380"/>
      <c r="N35" s="380"/>
      <c r="O35" s="380">
        <v>26</v>
      </c>
      <c r="P35" s="380"/>
      <c r="Q35" s="380"/>
      <c r="R35" s="380"/>
      <c r="S35" s="380">
        <v>-26</v>
      </c>
      <c r="T35" s="380"/>
      <c r="U35" s="380"/>
      <c r="V35" s="380"/>
      <c r="W35" s="380"/>
      <c r="X35" s="380"/>
      <c r="Y35" s="381"/>
      <c r="Z35" s="381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123</v>
      </c>
      <c r="AL35" s="290">
        <f>SUM(C35:AD35)</f>
        <v>0</v>
      </c>
      <c r="AM35" s="291">
        <f>SUM(AE35:AG35)</f>
        <v>0</v>
      </c>
    </row>
    <row r="36" spans="1:40" hidden="1" x14ac:dyDescent="0.25">
      <c r="A36" s="92" t="s">
        <v>60</v>
      </c>
      <c r="B36" s="93" t="s">
        <v>98</v>
      </c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0</v>
      </c>
      <c r="AJ36" s="129" t="s">
        <v>60</v>
      </c>
      <c r="AK36" s="130" t="s">
        <v>124</v>
      </c>
      <c r="AL36" s="290"/>
      <c r="AM36" s="388"/>
    </row>
    <row r="37" spans="1:40" ht="16.5" customHeight="1" x14ac:dyDescent="0.25">
      <c r="A37" s="92" t="s">
        <v>67</v>
      </c>
      <c r="B37" s="93" t="s">
        <v>68</v>
      </c>
      <c r="C37" s="380"/>
      <c r="D37" s="380"/>
      <c r="E37" s="380"/>
      <c r="F37" s="380"/>
      <c r="G37" s="380"/>
      <c r="H37" s="380"/>
      <c r="I37" s="380"/>
      <c r="J37" s="380"/>
      <c r="K37" s="380"/>
      <c r="L37" s="380"/>
      <c r="M37" s="380"/>
      <c r="N37" s="380"/>
      <c r="O37" s="380"/>
      <c r="P37" s="380"/>
      <c r="Q37" s="380"/>
      <c r="R37" s="380"/>
      <c r="S37" s="380"/>
      <c r="T37" s="380"/>
      <c r="U37" s="380"/>
      <c r="V37" s="380"/>
      <c r="W37" s="380"/>
      <c r="X37" s="380"/>
      <c r="Y37" s="380"/>
      <c r="Z37" s="380"/>
      <c r="AA37" s="380"/>
      <c r="AB37" s="380"/>
      <c r="AC37" s="380"/>
      <c r="AD37" s="380"/>
      <c r="AE37" s="380"/>
      <c r="AF37" s="380"/>
      <c r="AG37" s="380"/>
      <c r="AH37" s="111">
        <f t="shared" si="5"/>
        <v>0</v>
      </c>
      <c r="AJ37" s="129" t="s">
        <v>67</v>
      </c>
      <c r="AK37" s="130" t="s">
        <v>91</v>
      </c>
      <c r="AL37" s="269">
        <f>AH37</f>
        <v>0</v>
      </c>
      <c r="AM37" s="270"/>
      <c r="AN37" s="265" t="s">
        <v>125</v>
      </c>
    </row>
    <row r="38" spans="1:40" ht="16.5" thickBot="1" x14ac:dyDescent="0.3">
      <c r="A38" s="81" t="s">
        <v>109</v>
      </c>
      <c r="B38" s="94" t="s">
        <v>172</v>
      </c>
      <c r="C38" s="382"/>
      <c r="D38" s="382"/>
      <c r="E38" s="382">
        <v>52</v>
      </c>
      <c r="F38" s="382"/>
      <c r="G38" s="382"/>
      <c r="H38" s="382"/>
      <c r="I38" s="382">
        <v>52</v>
      </c>
      <c r="J38" s="382"/>
      <c r="K38" s="382"/>
      <c r="L38" s="382"/>
      <c r="M38" s="382"/>
      <c r="N38" s="382">
        <v>52</v>
      </c>
      <c r="O38" s="382"/>
      <c r="P38" s="382"/>
      <c r="Q38" s="382"/>
      <c r="R38" s="382"/>
      <c r="S38" s="382"/>
      <c r="T38" s="382"/>
      <c r="U38" s="382"/>
      <c r="V38" s="382"/>
      <c r="W38" s="382"/>
      <c r="X38" s="382"/>
      <c r="Y38" s="382">
        <v>150</v>
      </c>
      <c r="Z38" s="382"/>
      <c r="AA38" s="382"/>
      <c r="AB38" s="382"/>
      <c r="AC38" s="382"/>
      <c r="AD38" s="382"/>
      <c r="AE38" s="382"/>
      <c r="AF38" s="382"/>
      <c r="AG38" s="382"/>
      <c r="AH38" s="112">
        <f t="shared" si="5"/>
        <v>306</v>
      </c>
      <c r="AJ38" s="129" t="s">
        <v>109</v>
      </c>
      <c r="AK38" s="130" t="s">
        <v>156</v>
      </c>
      <c r="AL38" s="269">
        <f>AH38</f>
        <v>306</v>
      </c>
      <c r="AM38" s="270"/>
    </row>
    <row r="39" spans="1:40" ht="16.5" thickBot="1" x14ac:dyDescent="0.3">
      <c r="A39" s="202"/>
      <c r="B39" s="193" t="s">
        <v>65</v>
      </c>
      <c r="C39" s="107">
        <f t="shared" ref="C39:AG39" si="6">SUM(C33:C38)</f>
        <v>18479</v>
      </c>
      <c r="D39" s="107">
        <f t="shared" si="6"/>
        <v>18518.84</v>
      </c>
      <c r="E39" s="107">
        <f t="shared" si="6"/>
        <v>18237.46</v>
      </c>
      <c r="F39" s="107">
        <f t="shared" si="6"/>
        <v>20869.509999999998</v>
      </c>
      <c r="G39" s="107">
        <f t="shared" si="6"/>
        <v>21490.47</v>
      </c>
      <c r="H39" s="107">
        <f t="shared" si="6"/>
        <v>20272.62</v>
      </c>
      <c r="I39" s="107">
        <f t="shared" si="6"/>
        <v>31658.870000000003</v>
      </c>
      <c r="J39" s="107">
        <f t="shared" si="6"/>
        <v>17250.25</v>
      </c>
      <c r="K39" s="107">
        <f t="shared" si="6"/>
        <v>11528.55</v>
      </c>
      <c r="L39" s="107">
        <f t="shared" si="6"/>
        <v>11474.630000000001</v>
      </c>
      <c r="M39" s="107">
        <f t="shared" si="6"/>
        <v>17162.489999999998</v>
      </c>
      <c r="N39" s="107">
        <f t="shared" si="6"/>
        <v>20667.559999999998</v>
      </c>
      <c r="O39" s="107">
        <f t="shared" si="6"/>
        <v>14592.25</v>
      </c>
      <c r="P39" s="107">
        <f t="shared" si="6"/>
        <v>8538.24</v>
      </c>
      <c r="Q39" s="107">
        <f t="shared" si="6"/>
        <v>10245.380000000001</v>
      </c>
      <c r="R39" s="107">
        <f t="shared" si="6"/>
        <v>12523.61</v>
      </c>
      <c r="S39" s="107">
        <f t="shared" si="6"/>
        <v>7896.4400000000005</v>
      </c>
      <c r="T39" s="107">
        <f t="shared" si="6"/>
        <v>12095.31</v>
      </c>
      <c r="U39" s="107">
        <f t="shared" si="6"/>
        <v>19188.060000000001</v>
      </c>
      <c r="V39" s="107">
        <f t="shared" si="6"/>
        <v>12481.77</v>
      </c>
      <c r="W39" s="107">
        <f t="shared" si="6"/>
        <v>8836.89</v>
      </c>
      <c r="X39" s="107">
        <f t="shared" si="6"/>
        <v>7617.9699999999993</v>
      </c>
      <c r="Y39" s="107">
        <f t="shared" si="6"/>
        <v>9470.32</v>
      </c>
      <c r="Z39" s="107">
        <f t="shared" si="6"/>
        <v>7606.15</v>
      </c>
      <c r="AA39" s="107">
        <f t="shared" si="6"/>
        <v>8155.43</v>
      </c>
      <c r="AB39" s="107">
        <f t="shared" si="6"/>
        <v>12803.73</v>
      </c>
      <c r="AC39" s="107">
        <f t="shared" si="6"/>
        <v>12975.68</v>
      </c>
      <c r="AD39" s="107">
        <f t="shared" si="6"/>
        <v>7508.37</v>
      </c>
      <c r="AE39" s="107">
        <f t="shared" si="6"/>
        <v>6062.07</v>
      </c>
      <c r="AF39" s="107">
        <f t="shared" si="6"/>
        <v>6128.12</v>
      </c>
      <c r="AG39" s="107">
        <f t="shared" si="6"/>
        <v>8521.76</v>
      </c>
      <c r="AH39" s="110">
        <f>SUM(C39:AG39)</f>
        <v>420857.8</v>
      </c>
      <c r="AI39" s="59"/>
      <c r="AJ39" s="503" t="s">
        <v>76</v>
      </c>
      <c r="AK39" s="504"/>
      <c r="AL39" s="505">
        <f>SUM(AL33:AM38)</f>
        <v>409529.16000000009</v>
      </c>
      <c r="AM39" s="506"/>
      <c r="AN39" s="273">
        <f>AL39-AH39+AL45+AM45+AL43</f>
        <v>-14265.109999999895</v>
      </c>
    </row>
    <row r="40" spans="1:40" x14ac:dyDescent="0.25">
      <c r="A40" s="203"/>
      <c r="B40" s="194" t="s">
        <v>104</v>
      </c>
      <c r="C40" s="72">
        <f>C30</f>
        <v>18450.78</v>
      </c>
      <c r="D40" s="72">
        <f t="shared" ref="D40:AG40" si="7">D30</f>
        <v>18507.88</v>
      </c>
      <c r="E40" s="72">
        <f t="shared" si="7"/>
        <v>18237.87</v>
      </c>
      <c r="F40" s="72">
        <f t="shared" si="7"/>
        <v>20877.32</v>
      </c>
      <c r="G40" s="72">
        <f t="shared" si="7"/>
        <v>21490.07</v>
      </c>
      <c r="H40" s="72">
        <f t="shared" si="7"/>
        <v>20274.7</v>
      </c>
      <c r="I40" s="72">
        <f t="shared" si="7"/>
        <v>17388.91</v>
      </c>
      <c r="J40" s="72">
        <f t="shared" si="7"/>
        <v>17228.79</v>
      </c>
      <c r="K40" s="72">
        <f t="shared" si="7"/>
        <v>11541.78</v>
      </c>
      <c r="L40" s="72">
        <f t="shared" si="7"/>
        <v>11506.14</v>
      </c>
      <c r="M40" s="72">
        <f t="shared" si="7"/>
        <v>17161.47</v>
      </c>
      <c r="N40" s="72">
        <f t="shared" si="7"/>
        <v>20661.689999999999</v>
      </c>
      <c r="O40" s="72">
        <f t="shared" si="7"/>
        <v>14592.8</v>
      </c>
      <c r="P40" s="72">
        <f t="shared" si="7"/>
        <v>8587.98</v>
      </c>
      <c r="Q40" s="72">
        <f t="shared" si="7"/>
        <v>10184.02</v>
      </c>
      <c r="R40" s="72">
        <f t="shared" si="7"/>
        <v>12523.37</v>
      </c>
      <c r="S40" s="72">
        <f t="shared" si="7"/>
        <v>7896.08</v>
      </c>
      <c r="T40" s="72">
        <f t="shared" si="7"/>
        <v>12095.28</v>
      </c>
      <c r="U40" s="72">
        <f t="shared" si="7"/>
        <v>19187.93</v>
      </c>
      <c r="V40" s="72">
        <f t="shared" si="7"/>
        <v>12476.75</v>
      </c>
      <c r="W40" s="72">
        <f t="shared" si="7"/>
        <v>8840.93</v>
      </c>
      <c r="X40" s="72">
        <f t="shared" si="7"/>
        <v>7608.97</v>
      </c>
      <c r="Y40" s="72">
        <f t="shared" si="7"/>
        <v>9470.32</v>
      </c>
      <c r="Z40" s="72">
        <f t="shared" si="7"/>
        <v>7606.15</v>
      </c>
      <c r="AA40" s="72">
        <f t="shared" si="7"/>
        <v>8155.79</v>
      </c>
      <c r="AB40" s="72">
        <f t="shared" si="7"/>
        <v>12793.95</v>
      </c>
      <c r="AC40" s="72">
        <f t="shared" si="7"/>
        <v>12977.29</v>
      </c>
      <c r="AD40" s="72">
        <f t="shared" si="7"/>
        <v>7508.41</v>
      </c>
      <c r="AE40" s="72">
        <f t="shared" si="7"/>
        <v>6108.92</v>
      </c>
      <c r="AF40" s="72">
        <f t="shared" si="7"/>
        <v>6128.93</v>
      </c>
      <c r="AG40" s="72">
        <f t="shared" si="7"/>
        <v>8521.42</v>
      </c>
      <c r="AH40" s="111">
        <f t="shared" ref="AH40:AH41" si="8">SUM(C40:AG40)</f>
        <v>406592.68999999989</v>
      </c>
      <c r="AJ40" s="59"/>
      <c r="AK40" s="59"/>
    </row>
    <row r="41" spans="1:40" ht="16.5" thickBot="1" x14ac:dyDescent="0.3">
      <c r="A41" s="204"/>
      <c r="B41" s="104" t="s">
        <v>103</v>
      </c>
      <c r="C41" s="133">
        <f>C39-C40</f>
        <v>28.220000000001164</v>
      </c>
      <c r="D41" s="133">
        <f>D39-D40</f>
        <v>10.959999999999127</v>
      </c>
      <c r="E41" s="133">
        <f>E39-E40</f>
        <v>-0.40999999999985448</v>
      </c>
      <c r="F41" s="133">
        <f t="shared" ref="F41:AG41" si="9">F39-F40</f>
        <v>-7.8100000000013097</v>
      </c>
      <c r="G41" s="133">
        <f t="shared" si="9"/>
        <v>0.40000000000145519</v>
      </c>
      <c r="H41" s="133">
        <f t="shared" si="9"/>
        <v>-2.0800000000017462</v>
      </c>
      <c r="I41" s="133">
        <f t="shared" si="9"/>
        <v>14269.960000000003</v>
      </c>
      <c r="J41" s="133">
        <f t="shared" si="9"/>
        <v>21.459999999999127</v>
      </c>
      <c r="K41" s="133">
        <f t="shared" si="9"/>
        <v>-13.230000000001382</v>
      </c>
      <c r="L41" s="133">
        <f t="shared" si="9"/>
        <v>-31.509999999998399</v>
      </c>
      <c r="M41" s="133">
        <f t="shared" si="9"/>
        <v>1.0199999999967986</v>
      </c>
      <c r="N41" s="133">
        <f t="shared" si="9"/>
        <v>5.8699999999989814</v>
      </c>
      <c r="O41" s="133">
        <f t="shared" si="9"/>
        <v>-0.5499999999992724</v>
      </c>
      <c r="P41" s="133">
        <f t="shared" si="9"/>
        <v>-49.739999999999782</v>
      </c>
      <c r="Q41" s="133">
        <f t="shared" si="9"/>
        <v>61.360000000000582</v>
      </c>
      <c r="R41" s="133">
        <f t="shared" si="9"/>
        <v>0.23999999999978172</v>
      </c>
      <c r="S41" s="133">
        <f t="shared" si="9"/>
        <v>0.36000000000058208</v>
      </c>
      <c r="T41" s="133">
        <f t="shared" si="9"/>
        <v>2.9999999998835847E-2</v>
      </c>
      <c r="U41" s="133">
        <f t="shared" si="9"/>
        <v>0.13000000000101863</v>
      </c>
      <c r="V41" s="133">
        <f t="shared" si="9"/>
        <v>5.0200000000004366</v>
      </c>
      <c r="W41" s="133">
        <f t="shared" si="9"/>
        <v>-4.0400000000008731</v>
      </c>
      <c r="X41" s="133">
        <f t="shared" si="9"/>
        <v>8.9999999999990905</v>
      </c>
      <c r="Y41" s="133">
        <f t="shared" si="9"/>
        <v>0</v>
      </c>
      <c r="Z41" s="133">
        <f t="shared" si="9"/>
        <v>0</v>
      </c>
      <c r="AA41" s="133">
        <f t="shared" si="9"/>
        <v>-0.35999999999967258</v>
      </c>
      <c r="AB41" s="133">
        <f t="shared" si="9"/>
        <v>9.7799999999988358</v>
      </c>
      <c r="AC41" s="133">
        <f t="shared" si="9"/>
        <v>-1.6100000000005821</v>
      </c>
      <c r="AD41" s="133">
        <f t="shared" si="9"/>
        <v>-3.999999999996362E-2</v>
      </c>
      <c r="AE41" s="133">
        <f t="shared" si="9"/>
        <v>-46.850000000000364</v>
      </c>
      <c r="AF41" s="133">
        <f t="shared" si="9"/>
        <v>-0.81000000000040018</v>
      </c>
      <c r="AG41" s="133">
        <f t="shared" si="9"/>
        <v>0.34000000000014552</v>
      </c>
      <c r="AH41" s="112">
        <f t="shared" si="8"/>
        <v>14265.109999999993</v>
      </c>
      <c r="AJ41" s="377">
        <f>AH39-AH40</f>
        <v>14265.110000000102</v>
      </c>
      <c r="AK41" s="268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8"/>
      <c r="AK42" s="268"/>
      <c r="AL42" s="99"/>
      <c r="AM42" s="190"/>
      <c r="AN42" s="192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-28.220000000001164</v>
      </c>
      <c r="D43" s="114">
        <f t="shared" si="10"/>
        <v>-10.960000000002765</v>
      </c>
      <c r="E43" s="114">
        <f t="shared" si="10"/>
        <v>0.40999999999985448</v>
      </c>
      <c r="F43" s="114">
        <f t="shared" si="10"/>
        <v>7.8100000000013097</v>
      </c>
      <c r="G43" s="114">
        <f t="shared" si="10"/>
        <v>-0.40000000000145519</v>
      </c>
      <c r="H43" s="114">
        <f t="shared" si="10"/>
        <v>2.0799999999981083</v>
      </c>
      <c r="I43" s="114">
        <f t="shared" si="10"/>
        <v>-14269.960000000003</v>
      </c>
      <c r="J43" s="114">
        <f t="shared" si="10"/>
        <v>-21.459999999999127</v>
      </c>
      <c r="K43" s="114">
        <f t="shared" si="10"/>
        <v>13.229999999999563</v>
      </c>
      <c r="L43" s="114">
        <f t="shared" si="10"/>
        <v>31.510000000000218</v>
      </c>
      <c r="M43" s="114">
        <f t="shared" si="10"/>
        <v>-1.0199999999967986</v>
      </c>
      <c r="N43" s="114">
        <f t="shared" si="10"/>
        <v>-5.8699999999953434</v>
      </c>
      <c r="O43" s="114">
        <f t="shared" si="10"/>
        <v>0.55000000000109139</v>
      </c>
      <c r="P43" s="114">
        <f t="shared" si="10"/>
        <v>49.739999999999782</v>
      </c>
      <c r="Q43" s="114">
        <f t="shared" si="10"/>
        <v>-61.360000000000582</v>
      </c>
      <c r="R43" s="114">
        <f t="shared" si="10"/>
        <v>-0.23999999999978172</v>
      </c>
      <c r="S43" s="114">
        <f t="shared" si="10"/>
        <v>-0.36000000000058208</v>
      </c>
      <c r="T43" s="114">
        <f t="shared" si="10"/>
        <v>-2.9999999998835847E-2</v>
      </c>
      <c r="U43" s="114">
        <f t="shared" si="10"/>
        <v>-0.13000000000101863</v>
      </c>
      <c r="V43" s="114">
        <f t="shared" si="10"/>
        <v>-5.0200000000004366</v>
      </c>
      <c r="W43" s="114">
        <f t="shared" si="10"/>
        <v>4.0400000000008731</v>
      </c>
      <c r="X43" s="114">
        <f t="shared" si="10"/>
        <v>-8.9999999999990905</v>
      </c>
      <c r="Y43" s="114">
        <f t="shared" si="10"/>
        <v>0</v>
      </c>
      <c r="Z43" s="114">
        <f t="shared" si="10"/>
        <v>0</v>
      </c>
      <c r="AA43" s="114">
        <f t="shared" si="10"/>
        <v>0.35999999999967258</v>
      </c>
      <c r="AB43" s="114">
        <f t="shared" si="10"/>
        <v>-9.7800000000006548</v>
      </c>
      <c r="AC43" s="114">
        <f t="shared" si="10"/>
        <v>1.6100000000005821</v>
      </c>
      <c r="AD43" s="114">
        <f t="shared" si="10"/>
        <v>3.999999999996362E-2</v>
      </c>
      <c r="AE43" s="114">
        <f t="shared" si="10"/>
        <v>46.849999999999454</v>
      </c>
      <c r="AF43" s="114">
        <f t="shared" si="10"/>
        <v>0.81000000000040018</v>
      </c>
      <c r="AG43" s="114">
        <f t="shared" si="10"/>
        <v>-0.33999999999832653</v>
      </c>
      <c r="AH43" s="115">
        <f>SUM(C43:AG43)</f>
        <v>-14265.109999999999</v>
      </c>
      <c r="AI43" s="62"/>
      <c r="AJ43" s="211" t="s">
        <v>32</v>
      </c>
      <c r="AK43" s="212" t="s">
        <v>90</v>
      </c>
      <c r="AL43" s="271">
        <f>AH43</f>
        <v>-14265.109999999999</v>
      </c>
      <c r="AM43" s="272"/>
      <c r="AN43" s="274" t="s">
        <v>126</v>
      </c>
    </row>
    <row r="44" spans="1:40" s="102" customFormat="1" ht="16.5" thickBot="1" x14ac:dyDescent="0.3">
      <c r="A44" s="224"/>
      <c r="B44" s="225"/>
      <c r="C44" s="225"/>
      <c r="D44" s="225"/>
      <c r="E44" s="225"/>
      <c r="F44" s="225"/>
      <c r="G44" s="225"/>
      <c r="H44" s="225"/>
      <c r="I44" s="225"/>
      <c r="J44" s="225"/>
      <c r="K44" s="225"/>
      <c r="L44" s="225"/>
      <c r="M44" s="225"/>
      <c r="N44" s="225"/>
      <c r="O44" s="225"/>
      <c r="P44" s="225"/>
      <c r="Q44" s="225"/>
      <c r="R44" s="225"/>
      <c r="S44" s="225"/>
      <c r="T44" s="225"/>
      <c r="U44" s="225"/>
      <c r="V44" s="225"/>
      <c r="W44" s="225"/>
      <c r="X44" s="225"/>
      <c r="Y44" s="225"/>
      <c r="Z44" s="225"/>
      <c r="AA44" s="225"/>
      <c r="AB44" s="225"/>
      <c r="AC44" s="225"/>
      <c r="AD44" s="225"/>
      <c r="AE44" s="225"/>
      <c r="AF44" s="225"/>
      <c r="AG44" s="225"/>
      <c r="AH44" s="226"/>
      <c r="AI44" s="62"/>
      <c r="AJ44" s="224"/>
      <c r="AK44" s="225"/>
      <c r="AL44" s="99"/>
      <c r="AM44" s="102">
        <f>AL39+AL43+AM43+AL45+AM45</f>
        <v>406592.69000000012</v>
      </c>
      <c r="AN44" s="102">
        <f>AM44-AH29</f>
        <v>0</v>
      </c>
    </row>
    <row r="45" spans="1:40" s="99" customFormat="1" ht="16.5" thickBot="1" x14ac:dyDescent="0.3">
      <c r="A45" s="211" t="s">
        <v>196</v>
      </c>
      <c r="B45" s="101" t="s">
        <v>195</v>
      </c>
      <c r="C45" s="483">
        <v>515.51</v>
      </c>
      <c r="D45" s="483">
        <v>458.82</v>
      </c>
      <c r="E45" s="483">
        <v>523.35</v>
      </c>
      <c r="F45" s="483">
        <v>563.37</v>
      </c>
      <c r="G45" s="483">
        <v>583.42999999999995</v>
      </c>
      <c r="H45" s="483">
        <v>537.08000000000004</v>
      </c>
      <c r="I45" s="483">
        <f>444.93+444.93</f>
        <v>889.86</v>
      </c>
      <c r="J45" s="483">
        <v>458.54</v>
      </c>
      <c r="K45" s="483">
        <v>316.26</v>
      </c>
      <c r="L45" s="483">
        <v>317.68</v>
      </c>
      <c r="M45" s="483">
        <v>458.29</v>
      </c>
      <c r="N45" s="483">
        <v>523.66</v>
      </c>
      <c r="O45" s="483">
        <v>380.73</v>
      </c>
      <c r="P45" s="483">
        <v>225.9</v>
      </c>
      <c r="Q45" s="483">
        <v>284.43</v>
      </c>
      <c r="R45" s="483">
        <v>341.13</v>
      </c>
      <c r="S45" s="483">
        <v>224.99</v>
      </c>
      <c r="T45" s="483">
        <v>321.66000000000003</v>
      </c>
      <c r="U45" s="483">
        <v>485.47</v>
      </c>
      <c r="V45" s="483">
        <v>333.11</v>
      </c>
      <c r="W45" s="483">
        <v>236.55</v>
      </c>
      <c r="X45" s="483">
        <v>196.45</v>
      </c>
      <c r="Y45" s="483">
        <v>265.62</v>
      </c>
      <c r="Z45" s="483">
        <v>203.82</v>
      </c>
      <c r="AA45" s="483">
        <v>216.69</v>
      </c>
      <c r="AB45" s="483">
        <v>352.59</v>
      </c>
      <c r="AC45" s="489">
        <v>350.94</v>
      </c>
      <c r="AD45" s="489">
        <v>200.85</v>
      </c>
      <c r="AE45" s="489">
        <v>159.13</v>
      </c>
      <c r="AF45" s="489">
        <v>163.5</v>
      </c>
      <c r="AG45" s="490">
        <v>239.23</v>
      </c>
      <c r="AH45" s="115">
        <f t="shared" ref="AH45" si="11">SUM(C45:AG45)</f>
        <v>11328.640000000001</v>
      </c>
      <c r="AI45" s="62"/>
      <c r="AJ45" s="211" t="s">
        <v>196</v>
      </c>
      <c r="AK45" s="212" t="s">
        <v>197</v>
      </c>
      <c r="AL45" s="271">
        <f>SUM(C45:AB45)</f>
        <v>10214.990000000002</v>
      </c>
      <c r="AM45" s="272">
        <f>SUM(AC45:AG45)</f>
        <v>1113.6499999999999</v>
      </c>
      <c r="AN45" s="274"/>
    </row>
    <row r="46" spans="1:40" s="102" customFormat="1" ht="16.5" thickBot="1" x14ac:dyDescent="0.3">
      <c r="A46" s="224"/>
      <c r="B46" s="225" t="s">
        <v>232</v>
      </c>
      <c r="C46" s="480">
        <f>C34-C45</f>
        <v>16013.249999999998</v>
      </c>
      <c r="D46" s="480">
        <f t="shared" ref="D46:AG46" si="12">D34-D45</f>
        <v>14252.07</v>
      </c>
      <c r="E46" s="480">
        <f t="shared" si="12"/>
        <v>15874.109999999999</v>
      </c>
      <c r="F46" s="480">
        <f t="shared" si="12"/>
        <v>17412.2</v>
      </c>
      <c r="G46" s="480">
        <f t="shared" si="12"/>
        <v>18091.36</v>
      </c>
      <c r="H46" s="480">
        <f t="shared" si="12"/>
        <v>16600.509999999998</v>
      </c>
      <c r="I46" s="480">
        <f t="shared" si="12"/>
        <v>27643.22</v>
      </c>
      <c r="J46" s="480">
        <f t="shared" si="12"/>
        <v>14041.96</v>
      </c>
      <c r="K46" s="480">
        <f t="shared" si="12"/>
        <v>9750.1999999999989</v>
      </c>
      <c r="L46" s="480">
        <f t="shared" si="12"/>
        <v>9606.16</v>
      </c>
      <c r="M46" s="480">
        <f t="shared" si="12"/>
        <v>14159.939999999999</v>
      </c>
      <c r="N46" s="480">
        <f t="shared" si="12"/>
        <v>16166.91</v>
      </c>
      <c r="O46" s="480">
        <f t="shared" si="12"/>
        <v>11829.890000000001</v>
      </c>
      <c r="P46" s="480">
        <f t="shared" si="12"/>
        <v>6992.67</v>
      </c>
      <c r="Q46" s="480">
        <f t="shared" si="12"/>
        <v>8501.83</v>
      </c>
      <c r="R46" s="480">
        <f t="shared" si="12"/>
        <v>10548.19</v>
      </c>
      <c r="S46" s="480">
        <f t="shared" si="12"/>
        <v>6982.56</v>
      </c>
      <c r="T46" s="480">
        <f t="shared" si="12"/>
        <v>9663.49</v>
      </c>
      <c r="U46" s="480">
        <f t="shared" si="12"/>
        <v>15049.970000000001</v>
      </c>
      <c r="V46" s="480">
        <f t="shared" si="12"/>
        <v>10351.18</v>
      </c>
      <c r="W46" s="480">
        <f t="shared" si="12"/>
        <v>7132.78</v>
      </c>
      <c r="X46" s="480">
        <f t="shared" si="12"/>
        <v>6105.58</v>
      </c>
      <c r="Y46" s="480">
        <f t="shared" si="12"/>
        <v>8169.87</v>
      </c>
      <c r="Z46" s="480">
        <f t="shared" si="12"/>
        <v>6310.33</v>
      </c>
      <c r="AA46" s="480">
        <f t="shared" si="12"/>
        <v>6734.64</v>
      </c>
      <c r="AB46" s="480">
        <f t="shared" si="12"/>
        <v>10880.05</v>
      </c>
      <c r="AC46" s="480">
        <f t="shared" si="12"/>
        <v>10903.9</v>
      </c>
      <c r="AD46" s="480">
        <f t="shared" si="12"/>
        <v>6231.5199999999995</v>
      </c>
      <c r="AE46" s="480">
        <f t="shared" si="12"/>
        <v>4795.74</v>
      </c>
      <c r="AF46" s="480">
        <f t="shared" si="12"/>
        <v>5046.62</v>
      </c>
      <c r="AG46" s="480">
        <f t="shared" si="12"/>
        <v>7408.63</v>
      </c>
      <c r="AH46" s="226"/>
      <c r="AI46" s="62"/>
      <c r="AJ46" s="224"/>
      <c r="AK46" s="225"/>
      <c r="AL46" s="99"/>
    </row>
    <row r="47" spans="1:40" x14ac:dyDescent="0.25">
      <c r="A47" s="126"/>
      <c r="B47" s="213" t="s">
        <v>57</v>
      </c>
      <c r="C47" s="84">
        <v>864</v>
      </c>
      <c r="D47" s="84">
        <v>771</v>
      </c>
      <c r="E47" s="84">
        <v>835</v>
      </c>
      <c r="F47" s="84">
        <v>906</v>
      </c>
      <c r="G47" s="84">
        <v>886</v>
      </c>
      <c r="H47" s="84">
        <v>887</v>
      </c>
      <c r="I47" s="84">
        <v>755</v>
      </c>
      <c r="J47" s="84">
        <v>745</v>
      </c>
      <c r="K47" s="84">
        <v>659</v>
      </c>
      <c r="L47" s="84">
        <v>517</v>
      </c>
      <c r="M47" s="84">
        <v>768</v>
      </c>
      <c r="N47" s="84">
        <v>958</v>
      </c>
      <c r="O47" s="84">
        <v>621</v>
      </c>
      <c r="P47" s="84">
        <v>362</v>
      </c>
      <c r="Q47" s="84">
        <v>450</v>
      </c>
      <c r="R47" s="84">
        <v>568</v>
      </c>
      <c r="S47" s="84">
        <v>332</v>
      </c>
      <c r="T47" s="84">
        <v>513</v>
      </c>
      <c r="U47" s="84">
        <v>893</v>
      </c>
      <c r="V47" s="84">
        <v>624</v>
      </c>
      <c r="W47" s="84">
        <v>386</v>
      </c>
      <c r="X47" s="84">
        <v>339</v>
      </c>
      <c r="Y47" s="84">
        <v>371</v>
      </c>
      <c r="Z47" s="84">
        <v>332</v>
      </c>
      <c r="AA47" s="84">
        <v>386</v>
      </c>
      <c r="AB47" s="84">
        <v>627</v>
      </c>
      <c r="AC47" s="84">
        <v>527</v>
      </c>
      <c r="AD47" s="84">
        <v>343</v>
      </c>
      <c r="AE47" s="84">
        <v>283</v>
      </c>
      <c r="AF47" s="84">
        <v>302</v>
      </c>
      <c r="AG47" s="84">
        <v>310</v>
      </c>
      <c r="AH47" s="103">
        <f>SUM(C47:AG47)</f>
        <v>18120</v>
      </c>
      <c r="AJ47" s="126">
        <f>AH47</f>
        <v>18120</v>
      </c>
      <c r="AK47" s="218" t="s">
        <v>57</v>
      </c>
      <c r="AL47" s="102"/>
      <c r="AM47" s="102"/>
      <c r="AN47" s="102"/>
    </row>
    <row r="48" spans="1:40" ht="16.5" thickBot="1" x14ac:dyDescent="0.3">
      <c r="A48" s="135"/>
      <c r="B48" s="214" t="s">
        <v>58</v>
      </c>
      <c r="C48" s="94">
        <v>72</v>
      </c>
      <c r="D48" s="94">
        <v>84</v>
      </c>
      <c r="E48" s="94">
        <v>127</v>
      </c>
      <c r="F48" s="94">
        <v>111</v>
      </c>
      <c r="G48" s="94">
        <v>127</v>
      </c>
      <c r="H48" s="94">
        <v>124</v>
      </c>
      <c r="I48" s="94">
        <v>91</v>
      </c>
      <c r="J48" s="94">
        <v>93</v>
      </c>
      <c r="K48" s="94">
        <v>109</v>
      </c>
      <c r="L48" s="94">
        <v>73</v>
      </c>
      <c r="M48" s="94">
        <v>90</v>
      </c>
      <c r="N48" s="94">
        <v>109</v>
      </c>
      <c r="O48" s="94">
        <v>151</v>
      </c>
      <c r="P48" s="94">
        <v>98</v>
      </c>
      <c r="Q48" s="94">
        <v>122</v>
      </c>
      <c r="R48" s="94">
        <v>111</v>
      </c>
      <c r="S48" s="94">
        <v>99</v>
      </c>
      <c r="T48" s="94">
        <v>99</v>
      </c>
      <c r="U48" s="94">
        <v>123</v>
      </c>
      <c r="V48" s="94">
        <v>127</v>
      </c>
      <c r="W48" s="94">
        <v>105</v>
      </c>
      <c r="X48" s="94">
        <v>53</v>
      </c>
      <c r="Y48" s="94">
        <v>80</v>
      </c>
      <c r="Z48" s="94">
        <v>82</v>
      </c>
      <c r="AA48" s="94">
        <v>51</v>
      </c>
      <c r="AB48" s="94">
        <v>69</v>
      </c>
      <c r="AC48" s="94">
        <v>101</v>
      </c>
      <c r="AD48" s="94">
        <v>100</v>
      </c>
      <c r="AE48" s="94">
        <v>86</v>
      </c>
      <c r="AF48" s="94">
        <v>101</v>
      </c>
      <c r="AG48" s="94">
        <v>82</v>
      </c>
      <c r="AH48" s="105">
        <f>SUM(C48:AG48)</f>
        <v>3050</v>
      </c>
      <c r="AJ48" s="135">
        <f>AH48</f>
        <v>3050</v>
      </c>
      <c r="AK48" s="219" t="s">
        <v>58</v>
      </c>
    </row>
    <row r="49" spans="1:37" ht="16.5" thickBot="1" x14ac:dyDescent="0.3">
      <c r="A49" s="223"/>
      <c r="B49" s="227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3"/>
      <c r="AK49" s="227"/>
    </row>
    <row r="50" spans="1:37" ht="16.5" thickBot="1" x14ac:dyDescent="0.3">
      <c r="A50" s="211"/>
      <c r="B50" s="212" t="s">
        <v>106</v>
      </c>
      <c r="C50" s="212">
        <f>C47+C48</f>
        <v>936</v>
      </c>
      <c r="D50" s="212">
        <f t="shared" ref="D50:AG50" si="13">D47+D48</f>
        <v>855</v>
      </c>
      <c r="E50" s="212">
        <f t="shared" si="13"/>
        <v>962</v>
      </c>
      <c r="F50" s="212">
        <f t="shared" si="13"/>
        <v>1017</v>
      </c>
      <c r="G50" s="212">
        <f t="shared" si="13"/>
        <v>1013</v>
      </c>
      <c r="H50" s="212">
        <f t="shared" si="13"/>
        <v>1011</v>
      </c>
      <c r="I50" s="212">
        <f t="shared" si="13"/>
        <v>846</v>
      </c>
      <c r="J50" s="212">
        <f t="shared" si="13"/>
        <v>838</v>
      </c>
      <c r="K50" s="212">
        <f t="shared" si="13"/>
        <v>768</v>
      </c>
      <c r="L50" s="212">
        <f t="shared" si="13"/>
        <v>590</v>
      </c>
      <c r="M50" s="212">
        <f t="shared" si="13"/>
        <v>858</v>
      </c>
      <c r="N50" s="212">
        <f t="shared" si="13"/>
        <v>1067</v>
      </c>
      <c r="O50" s="212">
        <f t="shared" si="13"/>
        <v>772</v>
      </c>
      <c r="P50" s="212">
        <f t="shared" si="13"/>
        <v>460</v>
      </c>
      <c r="Q50" s="212">
        <f t="shared" si="13"/>
        <v>572</v>
      </c>
      <c r="R50" s="212">
        <f t="shared" si="13"/>
        <v>679</v>
      </c>
      <c r="S50" s="212">
        <f t="shared" si="13"/>
        <v>431</v>
      </c>
      <c r="T50" s="212">
        <f t="shared" si="13"/>
        <v>612</v>
      </c>
      <c r="U50" s="212">
        <f t="shared" si="13"/>
        <v>1016</v>
      </c>
      <c r="V50" s="212">
        <f t="shared" si="13"/>
        <v>751</v>
      </c>
      <c r="W50" s="212">
        <f t="shared" si="13"/>
        <v>491</v>
      </c>
      <c r="X50" s="212">
        <f t="shared" si="13"/>
        <v>392</v>
      </c>
      <c r="Y50" s="212">
        <f t="shared" si="13"/>
        <v>451</v>
      </c>
      <c r="Z50" s="212">
        <f t="shared" si="13"/>
        <v>414</v>
      </c>
      <c r="AA50" s="212">
        <f t="shared" si="13"/>
        <v>437</v>
      </c>
      <c r="AB50" s="212">
        <f t="shared" si="13"/>
        <v>696</v>
      </c>
      <c r="AC50" s="212">
        <f t="shared" si="13"/>
        <v>628</v>
      </c>
      <c r="AD50" s="212">
        <f t="shared" si="13"/>
        <v>443</v>
      </c>
      <c r="AE50" s="212">
        <f t="shared" si="13"/>
        <v>369</v>
      </c>
      <c r="AF50" s="212">
        <f t="shared" si="13"/>
        <v>403</v>
      </c>
      <c r="AG50" s="281">
        <f t="shared" si="13"/>
        <v>392</v>
      </c>
      <c r="AH50" s="280">
        <f>SUM(C50:AG50)</f>
        <v>21170</v>
      </c>
      <c r="AJ50" s="211">
        <f>AH50</f>
        <v>21170</v>
      </c>
      <c r="AK50" s="220" t="s">
        <v>106</v>
      </c>
    </row>
    <row r="51" spans="1:37" ht="16.5" thickBot="1" x14ac:dyDescent="0.3">
      <c r="A51" s="224"/>
      <c r="B51" s="225"/>
      <c r="C51" s="225"/>
      <c r="D51" s="225"/>
      <c r="E51" s="225"/>
      <c r="F51" s="225"/>
      <c r="G51" s="225"/>
      <c r="H51" s="225"/>
      <c r="I51" s="225"/>
      <c r="J51" s="225"/>
      <c r="K51" s="225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5"/>
      <c r="X51" s="225"/>
      <c r="Y51" s="225"/>
      <c r="Z51" s="225"/>
      <c r="AA51" s="225"/>
      <c r="AB51" s="225"/>
      <c r="AC51" s="225"/>
      <c r="AD51" s="225"/>
      <c r="AE51" s="225"/>
      <c r="AF51" s="225"/>
      <c r="AG51" s="225"/>
      <c r="AH51" s="226"/>
      <c r="AJ51" s="225"/>
      <c r="AK51" s="225"/>
    </row>
    <row r="52" spans="1:37" ht="16.5" thickBot="1" x14ac:dyDescent="0.3">
      <c r="A52" s="211"/>
      <c r="B52" s="212" t="s">
        <v>105</v>
      </c>
      <c r="C52" s="215">
        <f>IF(C50&lt;=1,0,IF(C50&gt;=0,(SUM(C4+C5)/C50)))</f>
        <v>16.013675213675214</v>
      </c>
      <c r="D52" s="215">
        <f t="shared" ref="D52:AG52" si="14">IF(D50&lt;=1,0,IF(D50&gt;=0,(SUM(D4+D5)/D50)))</f>
        <v>15.296374269005847</v>
      </c>
      <c r="E52" s="215">
        <f t="shared" si="14"/>
        <v>14.837837837837839</v>
      </c>
      <c r="F52" s="215">
        <f t="shared" si="14"/>
        <v>15.854867256637167</v>
      </c>
      <c r="G52" s="215">
        <f t="shared" si="14"/>
        <v>15.665942744323791</v>
      </c>
      <c r="H52" s="215">
        <f t="shared" si="14"/>
        <v>16.627695351137486</v>
      </c>
      <c r="I52" s="215">
        <f t="shared" si="14"/>
        <v>16.813711583924349</v>
      </c>
      <c r="J52" s="215">
        <f t="shared" si="14"/>
        <v>15.160620525059667</v>
      </c>
      <c r="K52" s="215">
        <f t="shared" si="14"/>
        <v>12.690937499999999</v>
      </c>
      <c r="L52" s="215">
        <f t="shared" si="14"/>
        <v>15.084745762711865</v>
      </c>
      <c r="M52" s="215">
        <f t="shared" si="14"/>
        <v>16.04895104895105</v>
      </c>
      <c r="N52" s="215">
        <f t="shared" si="14"/>
        <v>15.429428303655108</v>
      </c>
      <c r="O52" s="215">
        <f t="shared" si="14"/>
        <v>14.92020725388601</v>
      </c>
      <c r="P52" s="215">
        <f t="shared" si="14"/>
        <v>13.712173913043479</v>
      </c>
      <c r="Q52" s="215">
        <f t="shared" si="14"/>
        <v>13.70979020979021</v>
      </c>
      <c r="R52" s="215">
        <f t="shared" si="14"/>
        <v>13.991458026509575</v>
      </c>
      <c r="S52" s="215">
        <f t="shared" si="14"/>
        <v>13.168445475638052</v>
      </c>
      <c r="T52" s="215">
        <f t="shared" si="14"/>
        <v>14.882679738562093</v>
      </c>
      <c r="U52" s="215">
        <f t="shared" si="14"/>
        <v>15.685433070866141</v>
      </c>
      <c r="V52" s="215">
        <f t="shared" si="14"/>
        <v>13.183222370173103</v>
      </c>
      <c r="W52" s="215">
        <f t="shared" si="14"/>
        <v>13.114460285132383</v>
      </c>
      <c r="X52" s="215">
        <f t="shared" si="14"/>
        <v>14.763265306122449</v>
      </c>
      <c r="Y52" s="215">
        <f t="shared" si="14"/>
        <v>13.167184035476717</v>
      </c>
      <c r="Z52" s="215">
        <f t="shared" si="14"/>
        <v>13.793719806763287</v>
      </c>
      <c r="AA52" s="215">
        <f t="shared" si="14"/>
        <v>14.94187643020595</v>
      </c>
      <c r="AB52" s="215">
        <f t="shared" si="14"/>
        <v>15.761781609195403</v>
      </c>
      <c r="AC52" s="215">
        <f t="shared" si="14"/>
        <v>15.289171974522294</v>
      </c>
      <c r="AD52" s="215">
        <f t="shared" si="14"/>
        <v>13.820316027088035</v>
      </c>
      <c r="AE52" s="215">
        <f t="shared" si="14"/>
        <v>13.95230352303523</v>
      </c>
      <c r="AF52" s="215">
        <f t="shared" si="14"/>
        <v>12.503722084367245</v>
      </c>
      <c r="AG52" s="215">
        <f t="shared" si="14"/>
        <v>14.66530612244898</v>
      </c>
      <c r="AH52" s="280">
        <f>IFERROR(AVERAGEIF(C52:AG52, "&lt;&gt;0"),)</f>
        <v>14.662945311604711</v>
      </c>
      <c r="AJ52" s="221">
        <f>AH52</f>
        <v>14.662945311604711</v>
      </c>
      <c r="AK52" s="222" t="s">
        <v>107</v>
      </c>
    </row>
    <row r="53" spans="1:37" ht="16.5" thickBot="1" x14ac:dyDescent="0.3"/>
    <row r="54" spans="1:37" ht="16.5" thickBot="1" x14ac:dyDescent="0.3">
      <c r="A54" s="211"/>
      <c r="B54" s="212" t="s">
        <v>117</v>
      </c>
      <c r="C54" s="242">
        <f>IF(C47&lt;=1,0,IF(C47&gt;=0,(SUM(C4+C5)/C47)))</f>
        <v>17.348148148148148</v>
      </c>
      <c r="D54" s="242">
        <f t="shared" ref="D54:AG54" si="15">IF(D47&lt;=1,0,IF(D47&gt;=0,(SUM(D4+D5)/D47)))</f>
        <v>16.962905317769131</v>
      </c>
      <c r="E54" s="242">
        <f t="shared" si="15"/>
        <v>17.094610778443112</v>
      </c>
      <c r="F54" s="242">
        <f t="shared" si="15"/>
        <v>17.797350993377481</v>
      </c>
      <c r="G54" s="242">
        <f t="shared" si="15"/>
        <v>17.911512415349886</v>
      </c>
      <c r="H54" s="242">
        <f t="shared" si="15"/>
        <v>18.952198421645996</v>
      </c>
      <c r="I54" s="242">
        <f t="shared" si="15"/>
        <v>18.840264900662252</v>
      </c>
      <c r="J54" s="242">
        <f t="shared" si="15"/>
        <v>17.053154362416109</v>
      </c>
      <c r="K54" s="242">
        <f t="shared" si="15"/>
        <v>14.790045523520485</v>
      </c>
      <c r="L54" s="242">
        <f t="shared" si="15"/>
        <v>17.214700193423596</v>
      </c>
      <c r="M54" s="242">
        <f t="shared" si="15"/>
        <v>17.9296875</v>
      </c>
      <c r="N54" s="242">
        <f t="shared" si="15"/>
        <v>17.184968684759916</v>
      </c>
      <c r="O54" s="242">
        <f t="shared" si="15"/>
        <v>18.548148148148147</v>
      </c>
      <c r="P54" s="242">
        <f t="shared" si="15"/>
        <v>17.424309392265194</v>
      </c>
      <c r="Q54" s="242">
        <f t="shared" si="15"/>
        <v>17.426666666666666</v>
      </c>
      <c r="R54" s="242">
        <f t="shared" si="15"/>
        <v>16.725704225352114</v>
      </c>
      <c r="S54" s="242">
        <f t="shared" si="15"/>
        <v>17.095180722891566</v>
      </c>
      <c r="T54" s="242">
        <f t="shared" si="15"/>
        <v>17.754775828460041</v>
      </c>
      <c r="U54" s="242">
        <f t="shared" si="15"/>
        <v>17.845912653975365</v>
      </c>
      <c r="V54" s="242">
        <f t="shared" si="15"/>
        <v>15.866346153846154</v>
      </c>
      <c r="W54" s="242">
        <f t="shared" si="15"/>
        <v>16.681865284974094</v>
      </c>
      <c r="X54" s="242">
        <f t="shared" si="15"/>
        <v>17.071386430678466</v>
      </c>
      <c r="Y54" s="242">
        <f t="shared" si="15"/>
        <v>16.006469002695418</v>
      </c>
      <c r="Z54" s="242">
        <f t="shared" si="15"/>
        <v>17.200602409638556</v>
      </c>
      <c r="AA54" s="242">
        <f t="shared" si="15"/>
        <v>16.916062176165806</v>
      </c>
      <c r="AB54" s="242">
        <f t="shared" si="15"/>
        <v>17.496331738437004</v>
      </c>
      <c r="AC54" s="242">
        <f t="shared" si="15"/>
        <v>18.219354838709677</v>
      </c>
      <c r="AD54" s="242">
        <f t="shared" si="15"/>
        <v>17.849562682215744</v>
      </c>
      <c r="AE54" s="242">
        <f t="shared" si="15"/>
        <v>18.192226148409894</v>
      </c>
      <c r="AF54" s="242">
        <f t="shared" si="15"/>
        <v>16.685430463576157</v>
      </c>
      <c r="AG54" s="242">
        <f t="shared" si="15"/>
        <v>18.54451612903226</v>
      </c>
      <c r="AH54" s="279">
        <f>IFERROR(AVERAGEIF(C54:AG54, "&lt;&gt;0"),)</f>
        <v>17.375174139859816</v>
      </c>
      <c r="AI54" s="243"/>
      <c r="AJ54" s="244">
        <f>AH54</f>
        <v>17.375174139859816</v>
      </c>
      <c r="AK54" s="222" t="s">
        <v>118</v>
      </c>
    </row>
    <row r="55" spans="1:37" ht="16.5" thickBot="1" x14ac:dyDescent="0.3"/>
    <row r="56" spans="1:37" ht="16.5" thickBot="1" x14ac:dyDescent="0.3">
      <c r="A56" s="295"/>
      <c r="B56" s="296" t="s">
        <v>130</v>
      </c>
      <c r="C56" s="297"/>
      <c r="D56" s="297"/>
      <c r="E56" s="297"/>
      <c r="F56" s="297"/>
      <c r="G56" s="297"/>
      <c r="H56" s="297"/>
      <c r="I56" s="297"/>
      <c r="J56" s="297"/>
      <c r="K56" s="297"/>
      <c r="L56" s="297"/>
      <c r="M56" s="297"/>
      <c r="N56" s="297"/>
      <c r="O56" s="297"/>
      <c r="P56" s="297"/>
      <c r="Q56" s="297"/>
      <c r="R56" s="297"/>
      <c r="S56" s="297"/>
      <c r="T56" s="297"/>
      <c r="U56" s="297"/>
      <c r="V56" s="297"/>
      <c r="W56" s="297"/>
      <c r="X56" s="297"/>
      <c r="Y56" s="297"/>
      <c r="Z56" s="297"/>
      <c r="AA56" s="297"/>
      <c r="AB56" s="297"/>
      <c r="AC56" s="297"/>
      <c r="AD56" s="297"/>
      <c r="AE56" s="297"/>
      <c r="AF56" s="297"/>
      <c r="AG56" s="297"/>
      <c r="AH56" s="298" t="s">
        <v>131</v>
      </c>
      <c r="AJ56" s="299" t="s">
        <v>131</v>
      </c>
      <c r="AK56" s="300" t="s">
        <v>128</v>
      </c>
    </row>
    <row r="57" spans="1:37" x14ac:dyDescent="0.25">
      <c r="A57" s="90"/>
      <c r="B57" s="301" t="s">
        <v>132</v>
      </c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302">
        <f>IFERROR(AVERAGEIF(C57:AG57,"&lt;&gt;0"),)</f>
        <v>0</v>
      </c>
      <c r="AJ57" s="303">
        <f>AH57</f>
        <v>0</v>
      </c>
      <c r="AK57" s="304" t="s">
        <v>133</v>
      </c>
    </row>
    <row r="58" spans="1:37" x14ac:dyDescent="0.25">
      <c r="A58" s="90"/>
      <c r="B58" s="301" t="s">
        <v>155</v>
      </c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302">
        <f t="shared" ref="AH58:AH60" si="16">IFERROR(AVERAGEIF(C58:AG58,"&lt;&gt;0"),)</f>
        <v>0</v>
      </c>
      <c r="AJ58" s="305">
        <f>AH58</f>
        <v>0</v>
      </c>
      <c r="AK58" s="306" t="s">
        <v>134</v>
      </c>
    </row>
    <row r="59" spans="1:37" x14ac:dyDescent="0.25">
      <c r="A59" s="90"/>
      <c r="B59" s="301" t="s">
        <v>135</v>
      </c>
      <c r="C59" s="301"/>
      <c r="D59" s="301"/>
      <c r="E59" s="301"/>
      <c r="F59" s="301"/>
      <c r="G59" s="301"/>
      <c r="H59" s="301"/>
      <c r="I59" s="301"/>
      <c r="J59" s="301"/>
      <c r="K59" s="301"/>
      <c r="L59" s="301"/>
      <c r="M59" s="301"/>
      <c r="N59" s="301"/>
      <c r="O59" s="301"/>
      <c r="P59" s="301"/>
      <c r="Q59" s="301"/>
      <c r="R59" s="301"/>
      <c r="S59" s="301"/>
      <c r="T59" s="301"/>
      <c r="U59" s="301"/>
      <c r="V59" s="301"/>
      <c r="W59" s="301"/>
      <c r="X59" s="301"/>
      <c r="Y59" s="301"/>
      <c r="Z59" s="301"/>
      <c r="AA59" s="301"/>
      <c r="AB59" s="301"/>
      <c r="AC59" s="301"/>
      <c r="AD59" s="301"/>
      <c r="AE59" s="301"/>
      <c r="AF59" s="301"/>
      <c r="AG59" s="301"/>
      <c r="AH59" s="302">
        <f t="shared" si="16"/>
        <v>0</v>
      </c>
      <c r="AJ59" s="305">
        <f>AH59</f>
        <v>0</v>
      </c>
      <c r="AK59" s="306" t="s">
        <v>136</v>
      </c>
    </row>
    <row r="60" spans="1:37" ht="16.5" thickBot="1" x14ac:dyDescent="0.3">
      <c r="A60" s="81"/>
      <c r="B60" s="307" t="s">
        <v>137</v>
      </c>
      <c r="C60" s="308"/>
      <c r="D60" s="308"/>
      <c r="E60" s="308"/>
      <c r="F60" s="308"/>
      <c r="G60" s="308"/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8"/>
      <c r="AF60" s="308"/>
      <c r="AG60" s="308"/>
      <c r="AH60" s="309">
        <f t="shared" si="16"/>
        <v>0</v>
      </c>
      <c r="AJ60" s="310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10"/>
      <c r="B1" s="511"/>
      <c r="C1" s="316" t="s">
        <v>141</v>
      </c>
      <c r="D1" s="317" t="s">
        <v>63</v>
      </c>
      <c r="E1" s="317" t="s">
        <v>35</v>
      </c>
      <c r="F1" s="317" t="s">
        <v>142</v>
      </c>
      <c r="G1" s="317" t="s">
        <v>111</v>
      </c>
      <c r="H1" s="317" t="s">
        <v>78</v>
      </c>
      <c r="I1" s="317" t="s">
        <v>41</v>
      </c>
      <c r="J1" s="318"/>
      <c r="K1" s="319" t="s">
        <v>132</v>
      </c>
      <c r="L1" s="319" t="s">
        <v>143</v>
      </c>
      <c r="M1" s="319" t="s">
        <v>135</v>
      </c>
      <c r="N1" s="318"/>
      <c r="O1" s="319" t="s">
        <v>144</v>
      </c>
    </row>
    <row r="2" spans="1:15" x14ac:dyDescent="0.25">
      <c r="A2" s="320">
        <f>'Cash Flow'!A8</f>
        <v>45139</v>
      </c>
      <c r="B2" s="355" t="str">
        <f>TEXT(A2,"ddd")</f>
        <v>Tue</v>
      </c>
      <c r="C2" s="321">
        <f>TRANSPOSE(Pool!C4:AG4)</f>
        <v>14988.8</v>
      </c>
      <c r="D2" s="321">
        <f t="array" ref="D2:D32">TRANSPOSE(Pool!C9:AG9)</f>
        <v>873</v>
      </c>
      <c r="E2" s="321">
        <f t="array" ref="E2:E32">TRANSPOSE(Pool!C14:AG14)</f>
        <v>44</v>
      </c>
      <c r="F2" s="321">
        <f t="array" ref="F2:F32">TRANSPOSE(Pool!C15:AG15)</f>
        <v>784.64</v>
      </c>
      <c r="G2" s="321">
        <f t="array" ref="G2:G32">TRANSPOSE(Pool!C16:AG16)</f>
        <v>0</v>
      </c>
      <c r="H2" s="321">
        <f>TRANSPOSE(Pool!C18:AG18)</f>
        <v>119.5</v>
      </c>
      <c r="I2" s="324">
        <f t="array" ref="I2:I32">TRANSPOSE(Pool!C20:AG20)</f>
        <v>0</v>
      </c>
      <c r="J2" s="327"/>
      <c r="K2" s="328">
        <f t="array" ref="K2:K32">TRANSPOSE(Pool!C57:AG57)</f>
        <v>0</v>
      </c>
      <c r="L2" s="331">
        <f t="array" ref="L2:L32">TRANSPOSE(Pool!C58:AG58)</f>
        <v>0</v>
      </c>
      <c r="M2" s="334">
        <f t="array" ref="M2:M32">TRANSPOSE(Pool!C59:AG59)</f>
        <v>0</v>
      </c>
      <c r="N2" s="327"/>
      <c r="O2" s="338">
        <f t="array" ref="O2:O32">TRANSPOSE(Pool!C50:AG50)</f>
        <v>936</v>
      </c>
    </row>
    <row r="3" spans="1:15" x14ac:dyDescent="0.25">
      <c r="A3" s="341">
        <f t="shared" ref="A3:A32" si="0">SUM(A2+1)</f>
        <v>45140</v>
      </c>
      <c r="B3" s="356" t="str">
        <f>TEXT(A3,"ddd")</f>
        <v>Wed</v>
      </c>
      <c r="C3" s="322">
        <f>TRANSPOSE(Pool!C9:AG9)</f>
        <v>873</v>
      </c>
      <c r="D3" s="322">
        <v>747</v>
      </c>
      <c r="E3" s="322">
        <v>239</v>
      </c>
      <c r="F3" s="322">
        <v>748.39</v>
      </c>
      <c r="G3" s="322">
        <v>0</v>
      </c>
      <c r="H3" s="322">
        <f>TRANSPOSE(Pool!C19:AG19)</f>
        <v>0</v>
      </c>
      <c r="I3" s="325">
        <v>0</v>
      </c>
      <c r="J3" s="327"/>
      <c r="K3" s="329">
        <v>0</v>
      </c>
      <c r="L3" s="332">
        <v>0</v>
      </c>
      <c r="M3" s="335">
        <v>0</v>
      </c>
      <c r="N3" s="327"/>
      <c r="O3" s="339">
        <v>855</v>
      </c>
    </row>
    <row r="4" spans="1:15" x14ac:dyDescent="0.25">
      <c r="A4" s="341">
        <f t="shared" si="0"/>
        <v>45141</v>
      </c>
      <c r="B4" s="356" t="str">
        <f>TEXT(A4,"DDD")</f>
        <v>Thu</v>
      </c>
      <c r="C4" s="322">
        <f>TRANSPOSE(Pool!C5:AG5)</f>
        <v>0</v>
      </c>
      <c r="D4" s="322">
        <v>953</v>
      </c>
      <c r="E4" s="322">
        <v>89</v>
      </c>
      <c r="F4" s="322">
        <v>793.62</v>
      </c>
      <c r="G4" s="322">
        <v>0</v>
      </c>
      <c r="H4" s="322">
        <f>TRANSPOSE(Pool!C21:AG21)</f>
        <v>0</v>
      </c>
      <c r="I4" s="325">
        <v>0</v>
      </c>
      <c r="J4" s="327"/>
      <c r="K4" s="329">
        <v>0</v>
      </c>
      <c r="L4" s="332">
        <v>0</v>
      </c>
      <c r="M4" s="335">
        <v>0</v>
      </c>
      <c r="N4" s="327"/>
      <c r="O4" s="339">
        <v>962</v>
      </c>
    </row>
    <row r="5" spans="1:15" x14ac:dyDescent="0.25">
      <c r="A5" s="341">
        <f t="shared" si="0"/>
        <v>45142</v>
      </c>
      <c r="B5" s="356" t="str">
        <f>TEXT(A5,"ddd")</f>
        <v>Fri</v>
      </c>
      <c r="C5" s="322">
        <f>TRANSPOSE(Pool!C6:AG6)</f>
        <v>300</v>
      </c>
      <c r="D5" s="322">
        <v>1076</v>
      </c>
      <c r="E5" s="322">
        <v>470</v>
      </c>
      <c r="F5" s="322">
        <v>1000.92</v>
      </c>
      <c r="G5" s="322">
        <v>0</v>
      </c>
      <c r="H5" s="322">
        <f>TRANSPOSE(Pool!C20:AG20)</f>
        <v>0</v>
      </c>
      <c r="I5" s="325">
        <v>0</v>
      </c>
      <c r="J5" s="327"/>
      <c r="K5" s="329">
        <v>0</v>
      </c>
      <c r="L5" s="332">
        <v>0</v>
      </c>
      <c r="M5" s="335">
        <v>0</v>
      </c>
      <c r="N5" s="327"/>
      <c r="O5" s="339">
        <v>1017</v>
      </c>
    </row>
    <row r="6" spans="1:15" x14ac:dyDescent="0.25">
      <c r="A6" s="341">
        <f t="shared" si="0"/>
        <v>45143</v>
      </c>
      <c r="B6" s="356" t="str">
        <f>TEXT(A6,"DDD")</f>
        <v>Sat</v>
      </c>
      <c r="C6" s="322">
        <f>TRANSPOSE(Pool!C7:AG7)</f>
        <v>1360</v>
      </c>
      <c r="D6" s="322">
        <v>891</v>
      </c>
      <c r="E6" s="322">
        <v>133</v>
      </c>
      <c r="F6" s="322">
        <v>934.92</v>
      </c>
      <c r="G6" s="322">
        <v>0</v>
      </c>
      <c r="H6" s="322">
        <f>TRANSPOSE(Pool!C22:AG22)</f>
        <v>0</v>
      </c>
      <c r="I6" s="325">
        <v>0</v>
      </c>
      <c r="J6" s="327"/>
      <c r="K6" s="329">
        <v>0</v>
      </c>
      <c r="L6" s="332">
        <v>0</v>
      </c>
      <c r="M6" s="335">
        <v>0</v>
      </c>
      <c r="N6" s="327"/>
      <c r="O6" s="339">
        <v>1013</v>
      </c>
    </row>
    <row r="7" spans="1:15" x14ac:dyDescent="0.25">
      <c r="A7" s="341">
        <f t="shared" si="0"/>
        <v>45144</v>
      </c>
      <c r="B7" s="356" t="str">
        <f>TEXT(A7,"ddd")</f>
        <v>Sun</v>
      </c>
      <c r="C7" s="322">
        <f>TRANSPOSE(Pool!C8:AG8)</f>
        <v>0</v>
      </c>
      <c r="D7" s="322">
        <v>833</v>
      </c>
      <c r="E7" s="322">
        <v>24</v>
      </c>
      <c r="F7" s="322">
        <v>728.1</v>
      </c>
      <c r="G7" s="322">
        <v>0</v>
      </c>
      <c r="H7" s="322">
        <f>TRANSPOSE(Pool!C23:AG23)</f>
        <v>0</v>
      </c>
      <c r="I7" s="325">
        <v>0</v>
      </c>
      <c r="J7" s="327"/>
      <c r="K7" s="329">
        <v>0</v>
      </c>
      <c r="L7" s="332">
        <v>0</v>
      </c>
      <c r="M7" s="335">
        <v>0</v>
      </c>
      <c r="N7" s="327"/>
      <c r="O7" s="339">
        <v>1011</v>
      </c>
    </row>
    <row r="8" spans="1:15" x14ac:dyDescent="0.25">
      <c r="A8" s="341">
        <f t="shared" si="0"/>
        <v>45145</v>
      </c>
      <c r="B8" s="356" t="str">
        <f>TEXT(A8,"DDD")</f>
        <v>Mon</v>
      </c>
      <c r="C8" s="322">
        <f>TRANSPOSE(Pool!C10:AG10)</f>
        <v>0</v>
      </c>
      <c r="D8" s="322">
        <v>884</v>
      </c>
      <c r="E8" s="322">
        <v>52</v>
      </c>
      <c r="F8" s="322">
        <v>728.6</v>
      </c>
      <c r="G8" s="322">
        <v>0</v>
      </c>
      <c r="H8" s="322">
        <f>TRANSPOSE(Pool!C24:AG24)</f>
        <v>0</v>
      </c>
      <c r="I8" s="325">
        <v>270</v>
      </c>
      <c r="J8" s="327"/>
      <c r="K8" s="329">
        <v>0</v>
      </c>
      <c r="L8" s="332">
        <v>0</v>
      </c>
      <c r="M8" s="335">
        <v>0</v>
      </c>
      <c r="N8" s="327"/>
      <c r="O8" s="339">
        <v>846</v>
      </c>
    </row>
    <row r="9" spans="1:15" x14ac:dyDescent="0.25">
      <c r="A9" s="341">
        <f t="shared" si="0"/>
        <v>45146</v>
      </c>
      <c r="B9" s="356" t="str">
        <f>TEXT(A9,"ddd")</f>
        <v>Tue</v>
      </c>
      <c r="C9" s="322">
        <f>TRANSPOSE(Pool!C11:AG11)</f>
        <v>0</v>
      </c>
      <c r="D9" s="322">
        <v>610</v>
      </c>
      <c r="E9" s="322">
        <v>228</v>
      </c>
      <c r="F9" s="322">
        <v>511.39</v>
      </c>
      <c r="G9" s="322">
        <v>0</v>
      </c>
      <c r="H9" s="322">
        <f>TRANSPOSE(Pool!C25:AG25)</f>
        <v>0</v>
      </c>
      <c r="I9" s="325">
        <v>225</v>
      </c>
      <c r="J9" s="327"/>
      <c r="K9" s="329">
        <v>0</v>
      </c>
      <c r="L9" s="332">
        <v>0</v>
      </c>
      <c r="M9" s="336">
        <v>0</v>
      </c>
      <c r="N9" s="327"/>
      <c r="O9" s="339">
        <v>838</v>
      </c>
    </row>
    <row r="10" spans="1:15" x14ac:dyDescent="0.25">
      <c r="A10" s="341">
        <f t="shared" si="0"/>
        <v>45147</v>
      </c>
      <c r="B10" s="356" t="str">
        <f>TEXT(A10,"DDD")</f>
        <v>Wed</v>
      </c>
      <c r="C10" s="322">
        <f>TRANSPOSE(Pool!C12:AG12)</f>
        <v>0</v>
      </c>
      <c r="D10" s="322">
        <v>608</v>
      </c>
      <c r="E10" s="322">
        <v>147</v>
      </c>
      <c r="F10" s="322">
        <v>630.89</v>
      </c>
      <c r="G10" s="322">
        <v>0</v>
      </c>
      <c r="H10" s="322">
        <f>TRANSPOSE(Pool!C26:AG26)</f>
        <v>0</v>
      </c>
      <c r="I10" s="325">
        <v>0</v>
      </c>
      <c r="J10" s="327"/>
      <c r="K10" s="329">
        <v>0</v>
      </c>
      <c r="L10" s="332">
        <v>0</v>
      </c>
      <c r="M10" s="335">
        <v>0</v>
      </c>
      <c r="N10" s="327"/>
      <c r="O10" s="339">
        <v>768</v>
      </c>
    </row>
    <row r="11" spans="1:15" x14ac:dyDescent="0.25">
      <c r="A11" s="341">
        <f t="shared" si="0"/>
        <v>45148</v>
      </c>
      <c r="B11" s="356" t="str">
        <f>TEXT(A11,"ddd")</f>
        <v>Thu</v>
      </c>
      <c r="C11" s="322">
        <f>TRANSPOSE(Pool!C13:AG13)</f>
        <v>0</v>
      </c>
      <c r="D11" s="322">
        <v>25</v>
      </c>
      <c r="E11" s="322">
        <v>60</v>
      </c>
      <c r="F11" s="322">
        <v>493.95</v>
      </c>
      <c r="G11" s="322">
        <v>0</v>
      </c>
      <c r="H11" s="322">
        <f>TRANSPOSE(Pool!C27:AG27)</f>
        <v>0</v>
      </c>
      <c r="I11" s="325">
        <v>0</v>
      </c>
      <c r="J11" s="327"/>
      <c r="K11" s="329">
        <v>0</v>
      </c>
      <c r="L11" s="332">
        <v>0</v>
      </c>
      <c r="M11" s="335">
        <v>0</v>
      </c>
      <c r="N11" s="327"/>
      <c r="O11" s="339">
        <v>590</v>
      </c>
    </row>
    <row r="12" spans="1:15" x14ac:dyDescent="0.25">
      <c r="A12" s="341">
        <f t="shared" si="0"/>
        <v>45149</v>
      </c>
      <c r="B12" s="356" t="str">
        <f>TEXT(A12,"DDD")</f>
        <v>Fri</v>
      </c>
      <c r="C12" s="322">
        <f>TRANSPOSE(Pool!C14:AG14)</f>
        <v>44</v>
      </c>
      <c r="D12" s="322">
        <v>545</v>
      </c>
      <c r="E12" s="322">
        <v>36</v>
      </c>
      <c r="F12" s="322">
        <v>696.12</v>
      </c>
      <c r="G12" s="322">
        <v>0</v>
      </c>
      <c r="H12" s="322">
        <f>TRANSPOSE(Pool!C28:AG28)</f>
        <v>0</v>
      </c>
      <c r="I12" s="325">
        <v>0</v>
      </c>
      <c r="J12" s="327"/>
      <c r="K12" s="329">
        <v>0</v>
      </c>
      <c r="L12" s="332">
        <v>0</v>
      </c>
      <c r="M12" s="335">
        <v>0</v>
      </c>
      <c r="N12" s="327"/>
      <c r="O12" s="339">
        <v>858</v>
      </c>
    </row>
    <row r="13" spans="1:15" x14ac:dyDescent="0.25">
      <c r="A13" s="341">
        <f t="shared" si="0"/>
        <v>45150</v>
      </c>
      <c r="B13" s="356" t="str">
        <f>TEXT(A13,"ddd")</f>
        <v>Sat</v>
      </c>
      <c r="C13" s="322">
        <f>TRANSPOSE(Pool!C15:AG15)</f>
        <v>784.64</v>
      </c>
      <c r="D13" s="322">
        <v>691</v>
      </c>
      <c r="E13" s="322">
        <v>189</v>
      </c>
      <c r="F13" s="322">
        <v>603.84</v>
      </c>
      <c r="G13" s="322">
        <v>0</v>
      </c>
      <c r="H13" s="322">
        <f>TRANSPOSE(Pool!C29:AG29)</f>
        <v>20274.699999999997</v>
      </c>
      <c r="I13" s="325">
        <v>0</v>
      </c>
      <c r="J13" s="327"/>
      <c r="K13" s="329">
        <v>0</v>
      </c>
      <c r="L13" s="332">
        <v>0</v>
      </c>
      <c r="M13" s="335">
        <v>0</v>
      </c>
      <c r="N13" s="327"/>
      <c r="O13" s="339">
        <v>1067</v>
      </c>
    </row>
    <row r="14" spans="1:15" x14ac:dyDescent="0.25">
      <c r="A14" s="341">
        <f t="shared" si="0"/>
        <v>45151</v>
      </c>
      <c r="B14" s="356" t="str">
        <f>TEXT(A14,"DDD")</f>
        <v>Sun</v>
      </c>
      <c r="C14" s="322">
        <f>TRANSPOSE(Pool!C16:AG16)</f>
        <v>0</v>
      </c>
      <c r="D14" s="322">
        <v>396</v>
      </c>
      <c r="E14" s="322">
        <v>56</v>
      </c>
      <c r="F14" s="322">
        <v>573.87</v>
      </c>
      <c r="G14" s="322">
        <v>0</v>
      </c>
      <c r="H14" s="322">
        <f>TRANSPOSE(Pool!C30:AG30)</f>
        <v>20274.7</v>
      </c>
      <c r="I14" s="325">
        <v>0</v>
      </c>
      <c r="J14" s="327"/>
      <c r="K14" s="329">
        <v>0</v>
      </c>
      <c r="L14" s="332">
        <v>0</v>
      </c>
      <c r="M14" s="335">
        <v>0</v>
      </c>
      <c r="N14" s="327"/>
      <c r="O14" s="339">
        <v>772</v>
      </c>
    </row>
    <row r="15" spans="1:15" x14ac:dyDescent="0.25">
      <c r="A15" s="341">
        <f t="shared" si="0"/>
        <v>45152</v>
      </c>
      <c r="B15" s="356" t="str">
        <f>TEXT(A15,"ddd")</f>
        <v>Mon</v>
      </c>
      <c r="C15" s="322">
        <f>TRANSPOSE(Pool!C18:AG18)</f>
        <v>24</v>
      </c>
      <c r="D15" s="322">
        <v>318</v>
      </c>
      <c r="E15" s="322">
        <v>144</v>
      </c>
      <c r="F15" s="322">
        <v>246.37</v>
      </c>
      <c r="G15" s="322">
        <v>0</v>
      </c>
      <c r="H15" s="322">
        <f>TRANSPOSE(Pool!C31:AG31)</f>
        <v>0</v>
      </c>
      <c r="I15" s="325">
        <v>0</v>
      </c>
      <c r="J15" s="327"/>
      <c r="K15" s="329">
        <v>0</v>
      </c>
      <c r="L15" s="332">
        <v>0</v>
      </c>
      <c r="M15" s="335">
        <v>0</v>
      </c>
      <c r="N15" s="327"/>
      <c r="O15" s="339">
        <v>460</v>
      </c>
    </row>
    <row r="16" spans="1:15" x14ac:dyDescent="0.25">
      <c r="A16" s="341">
        <f t="shared" si="0"/>
        <v>45153</v>
      </c>
      <c r="B16" s="356" t="str">
        <f>TEXT(A16,"DDD")</f>
        <v>Tue</v>
      </c>
      <c r="C16" s="322">
        <f>TRANSPOSE(Pool!C19:AG19)</f>
        <v>0</v>
      </c>
      <c r="D16" s="322">
        <v>325</v>
      </c>
      <c r="E16" s="322">
        <v>98</v>
      </c>
      <c r="F16" s="322">
        <v>488.02</v>
      </c>
      <c r="G16" s="322">
        <v>0</v>
      </c>
      <c r="H16" s="322">
        <f>TRANSPOSE(Pool!C32:AG32)</f>
        <v>0</v>
      </c>
      <c r="I16" s="325">
        <v>0</v>
      </c>
      <c r="J16" s="327"/>
      <c r="K16" s="329">
        <v>0</v>
      </c>
      <c r="L16" s="332">
        <v>0</v>
      </c>
      <c r="M16" s="335">
        <v>0</v>
      </c>
      <c r="N16" s="327"/>
      <c r="O16" s="339">
        <v>572</v>
      </c>
    </row>
    <row r="17" spans="1:15" x14ac:dyDescent="0.25">
      <c r="A17" s="341">
        <f t="shared" si="0"/>
        <v>45154</v>
      </c>
      <c r="B17" s="356" t="str">
        <f>TEXT(A17,"ddd")</f>
        <v>Wed</v>
      </c>
      <c r="C17" s="322">
        <f>TRANSPOSE(Pool!C21:AG21)</f>
        <v>0</v>
      </c>
      <c r="D17" s="322">
        <v>650</v>
      </c>
      <c r="E17" s="322">
        <v>69</v>
      </c>
      <c r="F17" s="322">
        <v>575.94000000000005</v>
      </c>
      <c r="G17" s="322">
        <v>0</v>
      </c>
      <c r="H17" s="322">
        <f>TRANSPOSE(Pool!C33:AG33)</f>
        <v>3135.03</v>
      </c>
      <c r="I17" s="325">
        <v>0</v>
      </c>
      <c r="J17" s="327"/>
      <c r="K17" s="329">
        <v>0</v>
      </c>
      <c r="L17" s="332">
        <v>0</v>
      </c>
      <c r="M17" s="335">
        <v>0</v>
      </c>
      <c r="N17" s="327"/>
      <c r="O17" s="339">
        <v>679</v>
      </c>
    </row>
    <row r="18" spans="1:15" x14ac:dyDescent="0.25">
      <c r="A18" s="341">
        <f t="shared" si="0"/>
        <v>45155</v>
      </c>
      <c r="B18" s="356" t="str">
        <f>TEXT(A18,"DDD")</f>
        <v>Thu</v>
      </c>
      <c r="C18" s="322">
        <f>TRANSPOSE(Pool!C20:AG20)</f>
        <v>0</v>
      </c>
      <c r="D18" s="322">
        <v>160</v>
      </c>
      <c r="E18" s="322">
        <v>68</v>
      </c>
      <c r="F18" s="322">
        <v>344.59</v>
      </c>
      <c r="G18" s="322">
        <v>0</v>
      </c>
      <c r="H18" s="322">
        <f>TRANSPOSE(Pool!C34:AG34)</f>
        <v>17137.59</v>
      </c>
      <c r="I18" s="325">
        <v>0</v>
      </c>
      <c r="J18" s="327"/>
      <c r="K18" s="329">
        <v>0</v>
      </c>
      <c r="L18" s="332">
        <v>0</v>
      </c>
      <c r="M18" s="335">
        <v>0</v>
      </c>
      <c r="N18" s="327"/>
      <c r="O18" s="339">
        <v>431</v>
      </c>
    </row>
    <row r="19" spans="1:15" x14ac:dyDescent="0.25">
      <c r="A19" s="341">
        <f t="shared" si="0"/>
        <v>45156</v>
      </c>
      <c r="B19" s="356" t="str">
        <f>TEXT(A19,"ddd")</f>
        <v>Fri</v>
      </c>
      <c r="C19" s="322">
        <f>TRANSPOSE(Pool!C22:AG22)</f>
        <v>0</v>
      </c>
      <c r="D19" s="322">
        <v>260</v>
      </c>
      <c r="E19" s="322">
        <v>66</v>
      </c>
      <c r="F19" s="322">
        <v>630.54999999999995</v>
      </c>
      <c r="G19" s="322">
        <v>0</v>
      </c>
      <c r="H19" s="322">
        <f>TRANSPOSE(Pool!C35:AG35)</f>
        <v>0</v>
      </c>
      <c r="I19" s="325">
        <v>-45</v>
      </c>
      <c r="J19" s="327"/>
      <c r="K19" s="329">
        <v>0</v>
      </c>
      <c r="L19" s="332">
        <v>0</v>
      </c>
      <c r="M19" s="335">
        <v>0</v>
      </c>
      <c r="N19" s="327"/>
      <c r="O19" s="339">
        <v>612</v>
      </c>
    </row>
    <row r="20" spans="1:15" x14ac:dyDescent="0.25">
      <c r="A20" s="341">
        <f t="shared" si="0"/>
        <v>45157</v>
      </c>
      <c r="B20" s="356" t="str">
        <f>TEXT(A20,"DDD")</f>
        <v>Sat</v>
      </c>
      <c r="C20" s="322">
        <f>TRANSPOSE(Pool!C23:AG23)</f>
        <v>0</v>
      </c>
      <c r="D20" s="322">
        <v>536</v>
      </c>
      <c r="E20" s="322">
        <v>28</v>
      </c>
      <c r="F20" s="322">
        <v>909.23</v>
      </c>
      <c r="G20" s="322">
        <v>0</v>
      </c>
      <c r="H20" s="322">
        <f>TRANSPOSE(Pool!C36:AG36)</f>
        <v>0</v>
      </c>
      <c r="I20" s="325">
        <v>0</v>
      </c>
      <c r="J20" s="327"/>
      <c r="K20" s="329">
        <v>0</v>
      </c>
      <c r="L20" s="332">
        <v>0</v>
      </c>
      <c r="M20" s="335">
        <v>0</v>
      </c>
      <c r="N20" s="327"/>
      <c r="O20" s="339">
        <v>1016</v>
      </c>
    </row>
    <row r="21" spans="1:15" x14ac:dyDescent="0.25">
      <c r="A21" s="341">
        <f t="shared" si="0"/>
        <v>45158</v>
      </c>
      <c r="B21" s="356" t="str">
        <f>TEXT(A21,"ddd")</f>
        <v>Sun</v>
      </c>
      <c r="C21" s="322">
        <f>TRANSPOSE(Pool!C24:AG24)</f>
        <v>0</v>
      </c>
      <c r="D21" s="322">
        <v>386</v>
      </c>
      <c r="E21" s="322">
        <v>16</v>
      </c>
      <c r="F21" s="322">
        <v>712.93</v>
      </c>
      <c r="G21" s="322">
        <v>0</v>
      </c>
      <c r="H21" s="322">
        <f>TRANSPOSE(Pool!C37:AG37)</f>
        <v>0</v>
      </c>
      <c r="I21" s="325">
        <v>0</v>
      </c>
      <c r="J21" s="327"/>
      <c r="K21" s="329">
        <v>0</v>
      </c>
      <c r="L21" s="332">
        <v>0</v>
      </c>
      <c r="M21" s="335">
        <v>0</v>
      </c>
      <c r="N21" s="327"/>
      <c r="O21" s="339">
        <v>751</v>
      </c>
    </row>
    <row r="22" spans="1:15" x14ac:dyDescent="0.25">
      <c r="A22" s="341">
        <f t="shared" si="0"/>
        <v>45159</v>
      </c>
      <c r="B22" s="356" t="str">
        <f>TEXT(A22,"DDD")</f>
        <v>Mon</v>
      </c>
      <c r="C22" s="322">
        <f>TRANSPOSE(Pool!C25:AG25)</f>
        <v>0</v>
      </c>
      <c r="D22" s="322">
        <v>231</v>
      </c>
      <c r="E22" s="322">
        <v>172</v>
      </c>
      <c r="F22" s="322">
        <v>374.15</v>
      </c>
      <c r="G22" s="322">
        <v>0</v>
      </c>
      <c r="H22" s="322">
        <f>TRANSPOSE(Pool!C38:AG38)</f>
        <v>0</v>
      </c>
      <c r="I22" s="325">
        <v>0</v>
      </c>
      <c r="J22" s="327"/>
      <c r="K22" s="329">
        <v>0</v>
      </c>
      <c r="L22" s="332">
        <v>0</v>
      </c>
      <c r="M22" s="335">
        <v>0</v>
      </c>
      <c r="N22" s="327"/>
      <c r="O22" s="339">
        <v>491</v>
      </c>
    </row>
    <row r="23" spans="1:15" x14ac:dyDescent="0.25">
      <c r="A23" s="341">
        <f t="shared" si="0"/>
        <v>45160</v>
      </c>
      <c r="B23" s="356" t="str">
        <f>TEXT(A23,"ddd")</f>
        <v>Tue</v>
      </c>
      <c r="C23" s="322">
        <f>TRANSPOSE(Pool!C26:AG26)</f>
        <v>0</v>
      </c>
      <c r="D23" s="322">
        <v>30</v>
      </c>
      <c r="E23" s="322">
        <v>60</v>
      </c>
      <c r="F23" s="322">
        <v>265.83</v>
      </c>
      <c r="G23" s="322">
        <v>0</v>
      </c>
      <c r="H23" s="322">
        <f>TRANSPOSE(Pool!C39:AG39)</f>
        <v>20272.62</v>
      </c>
      <c r="I23" s="325">
        <v>0</v>
      </c>
      <c r="J23" s="327"/>
      <c r="K23" s="329">
        <v>0</v>
      </c>
      <c r="L23" s="332">
        <v>0</v>
      </c>
      <c r="M23" s="335">
        <v>0</v>
      </c>
      <c r="N23" s="327"/>
      <c r="O23" s="339">
        <v>392</v>
      </c>
    </row>
    <row r="24" spans="1:15" x14ac:dyDescent="0.25">
      <c r="A24" s="341">
        <f t="shared" si="0"/>
        <v>45161</v>
      </c>
      <c r="B24" s="356" t="str">
        <f>TEXT(A24,"DDD")</f>
        <v>Wed</v>
      </c>
      <c r="C24" s="322">
        <f>TRANSPOSE(Pool!C27:AG27)</f>
        <v>0</v>
      </c>
      <c r="D24" s="322">
        <v>0</v>
      </c>
      <c r="E24" s="322">
        <v>104</v>
      </c>
      <c r="F24" s="322">
        <v>324.66000000000003</v>
      </c>
      <c r="G24" s="322">
        <v>0</v>
      </c>
      <c r="H24" s="322">
        <f>TRANSPOSE(Pool!C40:AG40)</f>
        <v>20274.7</v>
      </c>
      <c r="I24" s="325">
        <v>0</v>
      </c>
      <c r="J24" s="327"/>
      <c r="K24" s="329">
        <v>0</v>
      </c>
      <c r="L24" s="332">
        <v>0</v>
      </c>
      <c r="M24" s="335">
        <v>0</v>
      </c>
      <c r="N24" s="327"/>
      <c r="O24" s="339">
        <v>451</v>
      </c>
    </row>
    <row r="25" spans="1:15" x14ac:dyDescent="0.25">
      <c r="A25" s="341">
        <f t="shared" si="0"/>
        <v>45162</v>
      </c>
      <c r="B25" s="356" t="str">
        <f>TEXT(A25,"ddd")</f>
        <v>Thu</v>
      </c>
      <c r="C25" s="322">
        <f>TRANSPOSE(Pool!C28:AG28)</f>
        <v>0</v>
      </c>
      <c r="D25" s="322">
        <v>95</v>
      </c>
      <c r="E25" s="322">
        <v>16</v>
      </c>
      <c r="F25" s="322">
        <v>281.81</v>
      </c>
      <c r="G25" s="322">
        <v>0</v>
      </c>
      <c r="H25" s="322">
        <f>TRANSPOSE(Pool!C41:AG41)</f>
        <v>-2.0800000000017462</v>
      </c>
      <c r="I25" s="325">
        <v>0</v>
      </c>
      <c r="J25" s="327"/>
      <c r="K25" s="329">
        <v>0</v>
      </c>
      <c r="L25" s="332">
        <v>0</v>
      </c>
      <c r="M25" s="335">
        <v>0</v>
      </c>
      <c r="N25" s="327"/>
      <c r="O25" s="339">
        <v>414</v>
      </c>
    </row>
    <row r="26" spans="1:15" x14ac:dyDescent="0.25">
      <c r="A26" s="341">
        <f t="shared" si="0"/>
        <v>45163</v>
      </c>
      <c r="B26" s="356" t="str">
        <f>TEXT(A26,"DDD")</f>
        <v>Fri</v>
      </c>
      <c r="C26" s="322">
        <f>TRANSPOSE(Pool!C29:AG29)</f>
        <v>18450.78</v>
      </c>
      <c r="D26" s="322">
        <v>219</v>
      </c>
      <c r="E26" s="322">
        <v>75</v>
      </c>
      <c r="F26" s="322">
        <v>372.94</v>
      </c>
      <c r="G26" s="322">
        <v>0</v>
      </c>
      <c r="H26" s="322">
        <f>TRANSPOSE(Pool!C42:AG42)</f>
        <v>0</v>
      </c>
      <c r="I26" s="325">
        <v>0</v>
      </c>
      <c r="J26" s="327"/>
      <c r="K26" s="329">
        <v>0</v>
      </c>
      <c r="L26" s="332">
        <v>0</v>
      </c>
      <c r="M26" s="335">
        <v>0</v>
      </c>
      <c r="N26" s="327"/>
      <c r="O26" s="339">
        <v>437</v>
      </c>
    </row>
    <row r="27" spans="1:15" x14ac:dyDescent="0.25">
      <c r="A27" s="341">
        <f t="shared" si="0"/>
        <v>45164</v>
      </c>
      <c r="B27" s="356" t="str">
        <f>TEXT(A27,"ddd")</f>
        <v>Sat</v>
      </c>
      <c r="C27" s="322">
        <f>TRANSPOSE(Pool!C30:AG30)</f>
        <v>18450.78</v>
      </c>
      <c r="D27" s="322">
        <v>0</v>
      </c>
      <c r="E27" s="322">
        <v>78</v>
      </c>
      <c r="F27" s="322">
        <v>518.13</v>
      </c>
      <c r="G27" s="322">
        <v>0</v>
      </c>
      <c r="H27" s="322">
        <f>TRANSPOSE(Pool!C43:AG43)</f>
        <v>2.0799999999981083</v>
      </c>
      <c r="I27" s="325">
        <v>0</v>
      </c>
      <c r="J27" s="327"/>
      <c r="K27" s="329">
        <v>0</v>
      </c>
      <c r="L27" s="332">
        <v>0</v>
      </c>
      <c r="M27" s="335">
        <v>0</v>
      </c>
      <c r="N27" s="327"/>
      <c r="O27" s="339">
        <v>696</v>
      </c>
    </row>
    <row r="28" spans="1:15" x14ac:dyDescent="0.25">
      <c r="A28" s="341">
        <f t="shared" si="0"/>
        <v>45165</v>
      </c>
      <c r="B28" s="356" t="str">
        <f>TEXT(A28,"DDD")</f>
        <v>Sun</v>
      </c>
      <c r="C28" s="322">
        <f>TRANSPOSE(Pool!C31:AG31)</f>
        <v>0</v>
      </c>
      <c r="D28" s="322">
        <v>274</v>
      </c>
      <c r="E28" s="322">
        <v>56</v>
      </c>
      <c r="F28" s="322">
        <v>476.79</v>
      </c>
      <c r="G28" s="322">
        <v>0</v>
      </c>
      <c r="H28" s="322">
        <f>TRANSPOSE(Pool!C44:AG44)</f>
        <v>0</v>
      </c>
      <c r="I28" s="325">
        <v>0</v>
      </c>
      <c r="J28" s="327"/>
      <c r="K28" s="329">
        <v>0</v>
      </c>
      <c r="L28" s="332">
        <v>0</v>
      </c>
      <c r="M28" s="335">
        <v>0</v>
      </c>
      <c r="N28" s="327"/>
      <c r="O28" s="339">
        <v>628</v>
      </c>
    </row>
    <row r="29" spans="1:15" x14ac:dyDescent="0.25">
      <c r="A29" s="341">
        <f t="shared" si="0"/>
        <v>45166</v>
      </c>
      <c r="B29" s="356" t="str">
        <f>TEXT(A29,"ddd")</f>
        <v>Mon</v>
      </c>
      <c r="C29" s="322">
        <f>TRANSPOSE(Pool!C32:AG32)</f>
        <v>0</v>
      </c>
      <c r="D29" s="322">
        <v>100</v>
      </c>
      <c r="E29" s="322">
        <v>36</v>
      </c>
      <c r="F29" s="322">
        <v>360.63</v>
      </c>
      <c r="G29" s="322">
        <v>0</v>
      </c>
      <c r="H29" s="322">
        <f>TRANSPOSE(Pool!C45:AG45)</f>
        <v>537.08000000000004</v>
      </c>
      <c r="I29" s="325">
        <v>0</v>
      </c>
      <c r="J29" s="327"/>
      <c r="K29" s="329">
        <v>0</v>
      </c>
      <c r="L29" s="332">
        <v>0</v>
      </c>
      <c r="M29" s="335">
        <v>0</v>
      </c>
      <c r="N29" s="327"/>
      <c r="O29" s="339">
        <v>443</v>
      </c>
    </row>
    <row r="30" spans="1:15" x14ac:dyDescent="0.25">
      <c r="A30" s="341">
        <f t="shared" si="0"/>
        <v>45167</v>
      </c>
      <c r="B30" s="356" t="str">
        <f>TEXT(A30,"ddd")</f>
        <v>Tue</v>
      </c>
      <c r="C30" s="322">
        <f>TRANSPOSE(Pool!C33:AG33)</f>
        <v>1950.24</v>
      </c>
      <c r="D30" s="322">
        <v>0</v>
      </c>
      <c r="E30" s="322">
        <v>36</v>
      </c>
      <c r="F30" s="322">
        <v>211.44</v>
      </c>
      <c r="G30" s="322">
        <v>0</v>
      </c>
      <c r="H30" s="322">
        <f>TRANSPOSE(Pool!C46:AG46)</f>
        <v>16600.509999999998</v>
      </c>
      <c r="I30" s="325">
        <v>0</v>
      </c>
      <c r="J30" s="327"/>
      <c r="K30" s="329">
        <v>0</v>
      </c>
      <c r="L30" s="332">
        <v>0</v>
      </c>
      <c r="M30" s="335">
        <v>0</v>
      </c>
      <c r="N30" s="327"/>
      <c r="O30" s="339">
        <v>369</v>
      </c>
    </row>
    <row r="31" spans="1:15" x14ac:dyDescent="0.25">
      <c r="A31" s="341">
        <f t="shared" si="0"/>
        <v>45168</v>
      </c>
      <c r="B31" s="356" t="str">
        <f>TEXT(A31,"ddd")</f>
        <v>Wed</v>
      </c>
      <c r="C31" s="322">
        <f>TRANSPOSE(Pool!C34:AG34)</f>
        <v>16528.759999999998</v>
      </c>
      <c r="D31" s="322">
        <v>0</v>
      </c>
      <c r="E31" s="322">
        <v>131</v>
      </c>
      <c r="F31" s="322">
        <v>298.77999999999997</v>
      </c>
      <c r="G31" s="322">
        <v>0</v>
      </c>
      <c r="H31" s="322">
        <f>TRANSPOSE(Pool!C47:AG47)</f>
        <v>887</v>
      </c>
      <c r="I31" s="325">
        <v>0</v>
      </c>
      <c r="J31" s="327"/>
      <c r="K31" s="329">
        <v>0</v>
      </c>
      <c r="L31" s="332">
        <v>0</v>
      </c>
      <c r="M31" s="335">
        <v>0</v>
      </c>
      <c r="N31" s="327"/>
      <c r="O31" s="339">
        <v>403</v>
      </c>
    </row>
    <row r="32" spans="1:15" ht="15.75" thickBot="1" x14ac:dyDescent="0.3">
      <c r="A32" s="342">
        <f t="shared" si="0"/>
        <v>45169</v>
      </c>
      <c r="B32" s="357" t="str">
        <f>TEXT(A32,"ddd")</f>
        <v>Thu</v>
      </c>
      <c r="C32" s="323">
        <f>TRANSPOSE(Pool!C35:AG35)</f>
        <v>0</v>
      </c>
      <c r="D32" s="323">
        <v>0</v>
      </c>
      <c r="E32" s="323">
        <v>40</v>
      </c>
      <c r="F32" s="323">
        <v>313.18</v>
      </c>
      <c r="G32" s="323">
        <v>0</v>
      </c>
      <c r="H32" s="323">
        <f>TRANSPOSE(Pool!C48:AG48)</f>
        <v>124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392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>
        <f t="shared" ref="C34:I34" si="1">SUM(C2:C33)</f>
        <v>73755</v>
      </c>
      <c r="D34" s="345">
        <f t="shared" si="1"/>
        <v>12716</v>
      </c>
      <c r="E34" s="345">
        <f t="shared" si="1"/>
        <v>3060</v>
      </c>
      <c r="F34" s="345">
        <f t="shared" si="1"/>
        <v>16935.22</v>
      </c>
      <c r="G34" s="345">
        <f t="shared" si="1"/>
        <v>0</v>
      </c>
      <c r="H34" s="345">
        <f t="shared" si="1"/>
        <v>119637.42999999998</v>
      </c>
      <c r="I34" s="346">
        <f t="shared" si="1"/>
        <v>450</v>
      </c>
      <c r="J34" s="60"/>
      <c r="K34" s="347">
        <f>Pool!AJ57</f>
        <v>0</v>
      </c>
      <c r="L34" s="348">
        <f>Pool!AJ58</f>
        <v>0</v>
      </c>
      <c r="M34" s="349">
        <f>Pool!AJ59</f>
        <v>0</v>
      </c>
      <c r="N34" s="102"/>
      <c r="O34" s="350">
        <f>SUM(O2:O33)</f>
        <v>21170</v>
      </c>
    </row>
    <row r="37" spans="1:15" x14ac:dyDescent="0.25">
      <c r="A37" s="351" t="s">
        <v>145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146</v>
      </c>
      <c r="D38" s="351">
        <v>100</v>
      </c>
      <c r="E38" s="351"/>
    </row>
    <row r="39" spans="1:15" x14ac:dyDescent="0.25">
      <c r="A39" s="351"/>
      <c r="B39" s="352" t="s">
        <v>147</v>
      </c>
      <c r="C39" s="352" t="s">
        <v>148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149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X29" sqref="X29:Z29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12" width="9.5703125" style="59" bestFit="1" customWidth="1"/>
    <col min="13" max="13" width="9.5703125" style="59" customWidth="1"/>
    <col min="14" max="33" width="9.5703125" style="59" bestFit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70" t="s">
        <v>115</v>
      </c>
      <c r="B1" s="285" t="str">
        <f>'Cash Flow'!C1</f>
        <v>August</v>
      </c>
      <c r="C1" s="228" t="str">
        <f t="array" ref="C1:AG1">TRANSPOSE('Cash Flow'!B8:B38)</f>
        <v>Tue</v>
      </c>
      <c r="D1" s="228" t="str">
        <v>Wed</v>
      </c>
      <c r="E1" s="228" t="str">
        <v>Thu</v>
      </c>
      <c r="F1" s="228" t="str">
        <v>Fri</v>
      </c>
      <c r="G1" s="228" t="str">
        <v>Sat</v>
      </c>
      <c r="H1" s="228" t="str">
        <v>Sun</v>
      </c>
      <c r="I1" s="228" t="str">
        <v>Mon</v>
      </c>
      <c r="J1" s="228" t="str">
        <v>Tue</v>
      </c>
      <c r="K1" s="228" t="str">
        <v>Wed</v>
      </c>
      <c r="L1" s="228" t="str">
        <v>Thu</v>
      </c>
      <c r="M1" s="228" t="str">
        <v>Fri</v>
      </c>
      <c r="N1" s="228" t="str">
        <v>Sat</v>
      </c>
      <c r="O1" s="228" t="str">
        <v>Sun</v>
      </c>
      <c r="P1" s="228" t="str">
        <v>Mon</v>
      </c>
      <c r="Q1" s="228" t="str">
        <v>Tue</v>
      </c>
      <c r="R1" s="228" t="str">
        <v>Wed</v>
      </c>
      <c r="S1" s="228" t="str">
        <v>Thu</v>
      </c>
      <c r="T1" s="228" t="str">
        <v>Fri</v>
      </c>
      <c r="U1" s="228" t="str">
        <v>Sat</v>
      </c>
      <c r="V1" s="228" t="str">
        <v>Sun</v>
      </c>
      <c r="W1" s="228" t="str">
        <v>Mon</v>
      </c>
      <c r="X1" s="228" t="str">
        <v>Tue</v>
      </c>
      <c r="Y1" s="228" t="str">
        <v>Wed</v>
      </c>
      <c r="Z1" s="228" t="str">
        <v>Thu</v>
      </c>
      <c r="AA1" s="228" t="str">
        <v>Fri</v>
      </c>
      <c r="AB1" s="228" t="str">
        <v>Sat</v>
      </c>
      <c r="AC1" s="228" t="str">
        <v>Sun</v>
      </c>
      <c r="AD1" s="228" t="str">
        <v>Mon</v>
      </c>
      <c r="AE1" s="228" t="str">
        <v>Tue</v>
      </c>
      <c r="AF1" s="228" t="str">
        <v>Wed</v>
      </c>
      <c r="AG1" s="228" t="str">
        <v>Thu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45139</v>
      </c>
      <c r="D2" s="106">
        <f t="shared" ref="D2:AG2" si="0">C2+1</f>
        <v>45140</v>
      </c>
      <c r="E2" s="106">
        <f t="shared" si="0"/>
        <v>45141</v>
      </c>
      <c r="F2" s="106">
        <f t="shared" si="0"/>
        <v>45142</v>
      </c>
      <c r="G2" s="106">
        <f t="shared" si="0"/>
        <v>45143</v>
      </c>
      <c r="H2" s="106">
        <f t="shared" si="0"/>
        <v>45144</v>
      </c>
      <c r="I2" s="106">
        <f t="shared" si="0"/>
        <v>45145</v>
      </c>
      <c r="J2" s="106">
        <f t="shared" si="0"/>
        <v>45146</v>
      </c>
      <c r="K2" s="106">
        <f t="shared" si="0"/>
        <v>45147</v>
      </c>
      <c r="L2" s="106">
        <f t="shared" si="0"/>
        <v>45148</v>
      </c>
      <c r="M2" s="106">
        <f t="shared" si="0"/>
        <v>45149</v>
      </c>
      <c r="N2" s="106">
        <f t="shared" si="0"/>
        <v>45150</v>
      </c>
      <c r="O2" s="106">
        <f t="shared" si="0"/>
        <v>45151</v>
      </c>
      <c r="P2" s="106">
        <f t="shared" si="0"/>
        <v>45152</v>
      </c>
      <c r="Q2" s="106">
        <f t="shared" si="0"/>
        <v>45153</v>
      </c>
      <c r="R2" s="106">
        <f t="shared" si="0"/>
        <v>45154</v>
      </c>
      <c r="S2" s="106">
        <f t="shared" si="0"/>
        <v>45155</v>
      </c>
      <c r="T2" s="106">
        <f t="shared" si="0"/>
        <v>45156</v>
      </c>
      <c r="U2" s="106">
        <f t="shared" si="0"/>
        <v>45157</v>
      </c>
      <c r="V2" s="106">
        <f t="shared" si="0"/>
        <v>45158</v>
      </c>
      <c r="W2" s="106">
        <f t="shared" si="0"/>
        <v>45159</v>
      </c>
      <c r="X2" s="106">
        <f t="shared" si="0"/>
        <v>45160</v>
      </c>
      <c r="Y2" s="106">
        <f t="shared" si="0"/>
        <v>45161</v>
      </c>
      <c r="Z2" s="106">
        <f t="shared" si="0"/>
        <v>45162</v>
      </c>
      <c r="AA2" s="106">
        <f t="shared" si="0"/>
        <v>45163</v>
      </c>
      <c r="AB2" s="106">
        <f t="shared" si="0"/>
        <v>45164</v>
      </c>
      <c r="AC2" s="106">
        <f t="shared" si="0"/>
        <v>45165</v>
      </c>
      <c r="AD2" s="106">
        <f t="shared" si="0"/>
        <v>45166</v>
      </c>
      <c r="AE2" s="106">
        <f t="shared" si="0"/>
        <v>45167</v>
      </c>
      <c r="AF2" s="106">
        <f t="shared" si="0"/>
        <v>45168</v>
      </c>
      <c r="AG2" s="106">
        <f t="shared" si="0"/>
        <v>45169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>
        <v>20.84</v>
      </c>
      <c r="D3" s="113">
        <v>41.71</v>
      </c>
      <c r="E3" s="113">
        <v>30.46</v>
      </c>
      <c r="F3" s="113">
        <v>32.31</v>
      </c>
      <c r="G3" s="113">
        <v>17.010000000000002</v>
      </c>
      <c r="H3" s="113">
        <v>12.9</v>
      </c>
      <c r="I3" s="113">
        <v>13.87</v>
      </c>
      <c r="J3" s="113">
        <v>21.21</v>
      </c>
      <c r="K3" s="113">
        <v>33.25</v>
      </c>
      <c r="L3" s="113">
        <v>26.98</v>
      </c>
      <c r="M3" s="113">
        <v>25.83</v>
      </c>
      <c r="N3" s="113">
        <v>18.649999999999999</v>
      </c>
      <c r="O3" s="113">
        <v>15.5</v>
      </c>
      <c r="P3" s="113">
        <v>20.12</v>
      </c>
      <c r="Q3" s="113">
        <v>14.39</v>
      </c>
      <c r="R3" s="113">
        <v>26.27</v>
      </c>
      <c r="S3" s="113">
        <v>13.49</v>
      </c>
      <c r="T3" s="113">
        <v>38.31</v>
      </c>
      <c r="U3" s="113">
        <v>25</v>
      </c>
      <c r="V3" s="113">
        <v>24.34</v>
      </c>
      <c r="W3" s="113">
        <v>8.75</v>
      </c>
      <c r="X3" s="113">
        <v>11.61</v>
      </c>
      <c r="Y3" s="113">
        <v>15.62</v>
      </c>
      <c r="Z3" s="113">
        <v>22.97</v>
      </c>
      <c r="AA3" s="113">
        <v>18.489999999999998</v>
      </c>
      <c r="AB3" s="113">
        <v>17.57</v>
      </c>
      <c r="AC3" s="113">
        <v>15.13</v>
      </c>
      <c r="AD3" s="113">
        <v>9.64</v>
      </c>
      <c r="AE3" s="113">
        <v>19.38</v>
      </c>
      <c r="AF3" s="113">
        <v>15.28</v>
      </c>
      <c r="AG3" s="113">
        <v>16.579999999999998</v>
      </c>
      <c r="AH3" s="108">
        <f t="shared" ref="AH3:AH15" si="1">SUM(C3:AG3)</f>
        <v>643.46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>
        <v>2490</v>
      </c>
      <c r="D4" s="124">
        <v>2455</v>
      </c>
      <c r="E4" s="124">
        <v>2744</v>
      </c>
      <c r="F4" s="124">
        <v>2654</v>
      </c>
      <c r="G4" s="124">
        <v>2887</v>
      </c>
      <c r="H4" s="124">
        <v>2493.8200000000002</v>
      </c>
      <c r="I4" s="124">
        <v>2622</v>
      </c>
      <c r="J4" s="124">
        <v>1964</v>
      </c>
      <c r="K4" s="124">
        <v>2015</v>
      </c>
      <c r="L4" s="124">
        <v>1955</v>
      </c>
      <c r="M4" s="124">
        <v>1950</v>
      </c>
      <c r="N4" s="124">
        <v>2916</v>
      </c>
      <c r="O4" s="124">
        <v>1830</v>
      </c>
      <c r="P4" s="124">
        <v>1404</v>
      </c>
      <c r="Q4" s="124">
        <v>1470</v>
      </c>
      <c r="R4" s="124">
        <v>1550</v>
      </c>
      <c r="S4" s="124">
        <v>1500</v>
      </c>
      <c r="T4" s="124">
        <v>1968</v>
      </c>
      <c r="U4" s="124">
        <v>2148</v>
      </c>
      <c r="V4" s="124">
        <v>1751</v>
      </c>
      <c r="W4" s="124">
        <v>1433</v>
      </c>
      <c r="X4" s="124">
        <v>1057</v>
      </c>
      <c r="Y4" s="124">
        <v>1410</v>
      </c>
      <c r="Z4" s="124">
        <v>1274</v>
      </c>
      <c r="AA4" s="124">
        <v>1655</v>
      </c>
      <c r="AB4" s="124">
        <v>2341</v>
      </c>
      <c r="AC4" s="124">
        <v>1810</v>
      </c>
      <c r="AD4" s="124">
        <v>1043</v>
      </c>
      <c r="AE4" s="124">
        <v>1194</v>
      </c>
      <c r="AF4" s="124">
        <v>989</v>
      </c>
      <c r="AG4" s="124">
        <v>1293</v>
      </c>
      <c r="AH4" s="108">
        <f t="shared" si="1"/>
        <v>58265.82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>
        <v>236</v>
      </c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>
        <v>10.01</v>
      </c>
      <c r="AB5" s="125"/>
      <c r="AC5" s="125"/>
      <c r="AD5" s="125"/>
      <c r="AE5" s="125"/>
      <c r="AF5" s="125"/>
      <c r="AG5" s="125"/>
      <c r="AH5" s="108">
        <f t="shared" si="1"/>
        <v>246.01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201</v>
      </c>
      <c r="C6" s="125">
        <v>218.28</v>
      </c>
      <c r="D6" s="125">
        <v>441.59</v>
      </c>
      <c r="E6" s="125">
        <v>322.26</v>
      </c>
      <c r="F6" s="125">
        <v>342.26</v>
      </c>
      <c r="G6" s="125">
        <v>179.78</v>
      </c>
      <c r="H6" s="125">
        <v>136.63</v>
      </c>
      <c r="I6" s="125">
        <v>146.80000000000001</v>
      </c>
      <c r="J6" s="125">
        <v>224.68</v>
      </c>
      <c r="K6" s="125">
        <v>352.37</v>
      </c>
      <c r="L6" s="125">
        <v>285.39999999999998</v>
      </c>
      <c r="M6" s="125">
        <v>273.3</v>
      </c>
      <c r="N6" s="125">
        <v>197.59</v>
      </c>
      <c r="O6" s="125">
        <v>164.41</v>
      </c>
      <c r="P6" s="125">
        <v>213.31</v>
      </c>
      <c r="Q6" s="125">
        <v>152.34</v>
      </c>
      <c r="R6" s="125">
        <v>278.49</v>
      </c>
      <c r="S6" s="125">
        <v>142.66999999999999</v>
      </c>
      <c r="T6" s="125">
        <v>405.69</v>
      </c>
      <c r="U6" s="125">
        <v>264.74</v>
      </c>
      <c r="V6" s="125">
        <v>257.64</v>
      </c>
      <c r="W6" s="125">
        <v>92.67</v>
      </c>
      <c r="X6" s="125">
        <v>122.65</v>
      </c>
      <c r="Y6" s="125">
        <v>165.42</v>
      </c>
      <c r="Z6" s="125">
        <v>243.07</v>
      </c>
      <c r="AA6" s="125">
        <v>196.02</v>
      </c>
      <c r="AB6" s="125">
        <v>185.36</v>
      </c>
      <c r="AC6" s="125">
        <v>159.97999999999999</v>
      </c>
      <c r="AD6" s="125">
        <v>101.99</v>
      </c>
      <c r="AE6" s="125">
        <v>205.32</v>
      </c>
      <c r="AF6" s="125">
        <v>161.69999999999999</v>
      </c>
      <c r="AG6" s="125">
        <v>175.24</v>
      </c>
      <c r="AH6" s="108">
        <f t="shared" si="1"/>
        <v>6809.6499999999978</v>
      </c>
      <c r="AJ6" s="162" t="s">
        <v>79</v>
      </c>
      <c r="AK6" s="163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>
        <v>7.2</v>
      </c>
      <c r="E7" s="125">
        <v>0.96</v>
      </c>
      <c r="F7" s="125"/>
      <c r="G7" s="125"/>
      <c r="H7" s="125"/>
      <c r="I7" s="125">
        <v>0.48</v>
      </c>
      <c r="J7" s="125"/>
      <c r="K7" s="125">
        <v>3.84</v>
      </c>
      <c r="L7" s="125">
        <v>1.45</v>
      </c>
      <c r="M7" s="125"/>
      <c r="N7" s="125">
        <v>0.48</v>
      </c>
      <c r="O7" s="125"/>
      <c r="P7" s="125"/>
      <c r="Q7" s="125">
        <v>2.88</v>
      </c>
      <c r="R7" s="125"/>
      <c r="S7" s="125">
        <v>0.96</v>
      </c>
      <c r="T7" s="125"/>
      <c r="U7" s="125">
        <v>1.92</v>
      </c>
      <c r="V7" s="125"/>
      <c r="W7" s="125">
        <v>0.96</v>
      </c>
      <c r="X7" s="125">
        <v>1.92</v>
      </c>
      <c r="Y7" s="125">
        <v>0.96</v>
      </c>
      <c r="Z7" s="125"/>
      <c r="AA7" s="125"/>
      <c r="AB7" s="125"/>
      <c r="AC7" s="125">
        <v>1.44</v>
      </c>
      <c r="AD7" s="125"/>
      <c r="AE7" s="125"/>
      <c r="AF7" s="125"/>
      <c r="AG7" s="125"/>
      <c r="AH7" s="108">
        <f t="shared" si="1"/>
        <v>25.450000000000006</v>
      </c>
      <c r="AJ7" s="162" t="s">
        <v>79</v>
      </c>
      <c r="AK7" s="163" t="s">
        <v>81</v>
      </c>
    </row>
    <row r="8" spans="1:37" ht="16.5" thickBot="1" x14ac:dyDescent="0.3">
      <c r="A8" s="434"/>
      <c r="B8" s="433" t="s">
        <v>191</v>
      </c>
      <c r="C8" s="432">
        <f t="shared" ref="C8:AG8" si="2">SUM(C3:C7)</f>
        <v>2729.1200000000003</v>
      </c>
      <c r="D8" s="432">
        <f t="shared" si="2"/>
        <v>3181.5</v>
      </c>
      <c r="E8" s="432">
        <f t="shared" si="2"/>
        <v>3097.6800000000003</v>
      </c>
      <c r="F8" s="432">
        <f t="shared" si="2"/>
        <v>3028.5699999999997</v>
      </c>
      <c r="G8" s="432">
        <f t="shared" si="2"/>
        <v>3083.7900000000004</v>
      </c>
      <c r="H8" s="432">
        <f t="shared" si="2"/>
        <v>2643.3500000000004</v>
      </c>
      <c r="I8" s="432">
        <f t="shared" si="2"/>
        <v>2783.15</v>
      </c>
      <c r="J8" s="432">
        <f t="shared" si="2"/>
        <v>2209.89</v>
      </c>
      <c r="K8" s="432">
        <f t="shared" si="2"/>
        <v>2404.46</v>
      </c>
      <c r="L8" s="432">
        <f t="shared" si="2"/>
        <v>2268.83</v>
      </c>
      <c r="M8" s="432">
        <f t="shared" si="2"/>
        <v>2249.13</v>
      </c>
      <c r="N8" s="432">
        <f t="shared" si="2"/>
        <v>3132.7200000000003</v>
      </c>
      <c r="O8" s="432">
        <f t="shared" si="2"/>
        <v>2009.91</v>
      </c>
      <c r="P8" s="432">
        <f t="shared" si="2"/>
        <v>1637.4299999999998</v>
      </c>
      <c r="Q8" s="432">
        <f t="shared" si="2"/>
        <v>1639.6100000000001</v>
      </c>
      <c r="R8" s="432">
        <f t="shared" si="2"/>
        <v>1854.76</v>
      </c>
      <c r="S8" s="432">
        <f t="shared" si="2"/>
        <v>1657.1200000000001</v>
      </c>
      <c r="T8" s="432">
        <f t="shared" si="2"/>
        <v>2412</v>
      </c>
      <c r="U8" s="432">
        <f t="shared" si="2"/>
        <v>2439.66</v>
      </c>
      <c r="V8" s="432">
        <f t="shared" si="2"/>
        <v>2032.98</v>
      </c>
      <c r="W8" s="432">
        <f t="shared" si="2"/>
        <v>1535.38</v>
      </c>
      <c r="X8" s="432">
        <f t="shared" si="2"/>
        <v>1193.18</v>
      </c>
      <c r="Y8" s="432">
        <f t="shared" si="2"/>
        <v>1592</v>
      </c>
      <c r="Z8" s="432">
        <f t="shared" si="2"/>
        <v>1540.04</v>
      </c>
      <c r="AA8" s="432">
        <f t="shared" si="2"/>
        <v>1879.52</v>
      </c>
      <c r="AB8" s="432">
        <f t="shared" si="2"/>
        <v>2543.9300000000003</v>
      </c>
      <c r="AC8" s="432">
        <f t="shared" si="2"/>
        <v>1986.5500000000002</v>
      </c>
      <c r="AD8" s="432">
        <f t="shared" si="2"/>
        <v>1154.6300000000001</v>
      </c>
      <c r="AE8" s="432">
        <f t="shared" si="2"/>
        <v>1418.7</v>
      </c>
      <c r="AF8" s="432">
        <f t="shared" si="2"/>
        <v>1165.98</v>
      </c>
      <c r="AG8" s="432">
        <f t="shared" si="2"/>
        <v>1484.82</v>
      </c>
      <c r="AH8" s="431">
        <f t="shared" si="1"/>
        <v>65990.390000000014</v>
      </c>
      <c r="AJ8" s="162"/>
      <c r="AK8" s="163"/>
    </row>
    <row r="9" spans="1:37" ht="15.75" x14ac:dyDescent="0.25">
      <c r="A9" s="430" t="s">
        <v>61</v>
      </c>
      <c r="B9" s="429" t="s">
        <v>83</v>
      </c>
      <c r="C9" s="428">
        <v>12.17</v>
      </c>
      <c r="D9" s="107">
        <v>14.94</v>
      </c>
      <c r="E9" s="427">
        <v>14.98</v>
      </c>
      <c r="F9" s="427">
        <v>18.04</v>
      </c>
      <c r="G9" s="427">
        <v>22.23</v>
      </c>
      <c r="H9" s="427">
        <v>20.83</v>
      </c>
      <c r="I9" s="427">
        <v>14.37</v>
      </c>
      <c r="J9" s="427">
        <v>29.23</v>
      </c>
      <c r="K9" s="427">
        <v>16.02</v>
      </c>
      <c r="L9" s="427">
        <v>8.1999999999999993</v>
      </c>
      <c r="M9" s="427">
        <v>9.6999999999999993</v>
      </c>
      <c r="N9" s="427">
        <v>21.06</v>
      </c>
      <c r="O9" s="427">
        <v>19.690000000000001</v>
      </c>
      <c r="P9" s="427">
        <v>7.13</v>
      </c>
      <c r="Q9" s="427">
        <v>7.32</v>
      </c>
      <c r="R9" s="427">
        <v>13.36</v>
      </c>
      <c r="S9" s="427">
        <v>17.559999999999999</v>
      </c>
      <c r="T9" s="427">
        <v>9.8699999999999992</v>
      </c>
      <c r="U9" s="427">
        <v>11.34</v>
      </c>
      <c r="V9" s="427">
        <v>15.65</v>
      </c>
      <c r="W9" s="427">
        <v>7.03</v>
      </c>
      <c r="X9" s="427">
        <v>8.02</v>
      </c>
      <c r="Y9" s="427">
        <v>25.41</v>
      </c>
      <c r="Z9" s="427">
        <v>5.07</v>
      </c>
      <c r="AA9" s="427">
        <v>9.83</v>
      </c>
      <c r="AB9" s="427">
        <v>10.11</v>
      </c>
      <c r="AC9" s="427">
        <v>8.3800000000000008</v>
      </c>
      <c r="AD9" s="427">
        <v>13.25</v>
      </c>
      <c r="AE9" s="427">
        <v>9.7200000000000006</v>
      </c>
      <c r="AF9" s="427">
        <v>8.36</v>
      </c>
      <c r="AG9" s="427">
        <v>16.829999999999998</v>
      </c>
      <c r="AH9" s="426">
        <f t="shared" si="1"/>
        <v>425.69999999999993</v>
      </c>
      <c r="AJ9" s="424"/>
      <c r="AK9" s="423"/>
    </row>
    <row r="10" spans="1:37" ht="15.75" x14ac:dyDescent="0.25">
      <c r="A10" s="122" t="s">
        <v>69</v>
      </c>
      <c r="B10" s="123" t="s">
        <v>70</v>
      </c>
      <c r="C10" s="425">
        <f>1534-21</f>
        <v>1513</v>
      </c>
      <c r="D10" s="125">
        <v>2028</v>
      </c>
      <c r="E10" s="153">
        <v>1779</v>
      </c>
      <c r="F10" s="153">
        <v>1696</v>
      </c>
      <c r="G10" s="153">
        <v>2302</v>
      </c>
      <c r="H10" s="153">
        <v>2024</v>
      </c>
      <c r="I10" s="153">
        <v>1687</v>
      </c>
      <c r="J10" s="153">
        <v>1538</v>
      </c>
      <c r="K10" s="153">
        <v>1537</v>
      </c>
      <c r="L10" s="153">
        <v>692</v>
      </c>
      <c r="M10" s="153">
        <v>1382</v>
      </c>
      <c r="N10" s="153">
        <v>2099</v>
      </c>
      <c r="O10" s="153">
        <v>1634</v>
      </c>
      <c r="P10" s="153">
        <v>1146</v>
      </c>
      <c r="Q10" s="153">
        <v>1169</v>
      </c>
      <c r="R10" s="153">
        <v>1091</v>
      </c>
      <c r="S10" s="153">
        <v>1257</v>
      </c>
      <c r="T10" s="153">
        <v>1164</v>
      </c>
      <c r="U10" s="153">
        <v>2322</v>
      </c>
      <c r="V10" s="153">
        <v>1476.5</v>
      </c>
      <c r="W10" s="153">
        <v>1340</v>
      </c>
      <c r="X10" s="153">
        <v>1145</v>
      </c>
      <c r="Y10" s="153">
        <v>939</v>
      </c>
      <c r="Z10" s="153">
        <v>519</v>
      </c>
      <c r="AA10" s="153">
        <v>843</v>
      </c>
      <c r="AB10" s="153">
        <v>1021</v>
      </c>
      <c r="AC10" s="153">
        <v>1756</v>
      </c>
      <c r="AD10" s="153">
        <v>766</v>
      </c>
      <c r="AE10" s="153">
        <v>785</v>
      </c>
      <c r="AF10" s="153">
        <v>763</v>
      </c>
      <c r="AG10" s="153">
        <v>741</v>
      </c>
      <c r="AH10" s="420">
        <f t="shared" si="1"/>
        <v>42154.5</v>
      </c>
      <c r="AJ10" s="424"/>
      <c r="AK10" s="423"/>
    </row>
    <row r="11" spans="1:37" ht="15.75" x14ac:dyDescent="0.25">
      <c r="A11" s="122" t="s">
        <v>80</v>
      </c>
      <c r="B11" s="123" t="s">
        <v>82</v>
      </c>
      <c r="C11" s="425">
        <v>20</v>
      </c>
      <c r="D11" s="125"/>
      <c r="E11" s="153"/>
      <c r="F11" s="153"/>
      <c r="G11" s="153"/>
      <c r="H11" s="153"/>
      <c r="I11" s="153"/>
      <c r="J11" s="153">
        <v>59</v>
      </c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>
        <v>78</v>
      </c>
      <c r="AC11" s="153"/>
      <c r="AD11" s="153"/>
      <c r="AE11" s="153"/>
      <c r="AF11" s="153"/>
      <c r="AG11" s="153"/>
      <c r="AH11" s="420">
        <f t="shared" si="1"/>
        <v>157</v>
      </c>
      <c r="AJ11" s="424"/>
      <c r="AK11" s="423"/>
    </row>
    <row r="12" spans="1:37" ht="15.75" x14ac:dyDescent="0.25">
      <c r="A12" s="122" t="s">
        <v>79</v>
      </c>
      <c r="B12" s="123" t="s">
        <v>201</v>
      </c>
      <c r="C12" s="425">
        <v>128.77000000000001</v>
      </c>
      <c r="D12" s="125">
        <v>157.52000000000001</v>
      </c>
      <c r="E12" s="153">
        <v>158.53</v>
      </c>
      <c r="F12" s="153">
        <v>191.11</v>
      </c>
      <c r="G12" s="153">
        <v>234.83</v>
      </c>
      <c r="H12" s="153">
        <v>220.26</v>
      </c>
      <c r="I12" s="153">
        <v>152.15</v>
      </c>
      <c r="J12" s="153">
        <v>309.55</v>
      </c>
      <c r="K12" s="153">
        <v>169.59</v>
      </c>
      <c r="L12" s="153">
        <v>86.82</v>
      </c>
      <c r="M12" s="153">
        <v>102.57</v>
      </c>
      <c r="N12" s="153">
        <v>222.99</v>
      </c>
      <c r="O12" s="153">
        <v>209</v>
      </c>
      <c r="P12" s="153">
        <v>75.349999999999994</v>
      </c>
      <c r="Q12" s="153">
        <v>77.55</v>
      </c>
      <c r="R12" s="153">
        <v>141.35</v>
      </c>
      <c r="S12" s="153">
        <v>185.82</v>
      </c>
      <c r="T12" s="153">
        <v>104.48</v>
      </c>
      <c r="U12" s="153">
        <v>120.07</v>
      </c>
      <c r="V12" s="153">
        <v>165.61</v>
      </c>
      <c r="W12" s="153">
        <v>74.36</v>
      </c>
      <c r="X12" s="153">
        <v>84.92</v>
      </c>
      <c r="Y12" s="153">
        <v>269.04000000000002</v>
      </c>
      <c r="Z12" s="153">
        <v>53.71</v>
      </c>
      <c r="AA12" s="153">
        <v>103.99</v>
      </c>
      <c r="AB12" s="153">
        <v>107.05</v>
      </c>
      <c r="AC12" s="153">
        <v>88.6</v>
      </c>
      <c r="AD12" s="153">
        <v>140.35</v>
      </c>
      <c r="AE12" s="153">
        <v>102.96</v>
      </c>
      <c r="AF12" s="153">
        <v>88.64</v>
      </c>
      <c r="AG12" s="153">
        <v>178.23</v>
      </c>
      <c r="AH12" s="420">
        <f t="shared" si="1"/>
        <v>4505.7700000000004</v>
      </c>
      <c r="AJ12" s="424"/>
      <c r="AK12" s="423"/>
    </row>
    <row r="13" spans="1:37" ht="15.75" x14ac:dyDescent="0.25">
      <c r="A13" s="122" t="s">
        <v>79</v>
      </c>
      <c r="B13" s="123" t="s">
        <v>81</v>
      </c>
      <c r="C13" s="425"/>
      <c r="D13" s="125">
        <v>1.44</v>
      </c>
      <c r="E13" s="153"/>
      <c r="F13" s="153"/>
      <c r="G13" s="153"/>
      <c r="H13" s="153"/>
      <c r="I13" s="153"/>
      <c r="J13" s="153"/>
      <c r="K13" s="153">
        <v>1.44</v>
      </c>
      <c r="L13" s="153"/>
      <c r="M13" s="153">
        <v>3.36</v>
      </c>
      <c r="N13" s="153"/>
      <c r="O13" s="153"/>
      <c r="P13" s="153">
        <v>1.92</v>
      </c>
      <c r="Q13" s="153"/>
      <c r="R13" s="153"/>
      <c r="S13" s="153"/>
      <c r="T13" s="153">
        <v>1.45</v>
      </c>
      <c r="U13" s="153"/>
      <c r="V13" s="153"/>
      <c r="W13" s="153"/>
      <c r="X13" s="153"/>
      <c r="Y13" s="153">
        <v>1.92</v>
      </c>
      <c r="Z13" s="153"/>
      <c r="AA13" s="153"/>
      <c r="AB13" s="153"/>
      <c r="AC13" s="153">
        <v>0.48</v>
      </c>
      <c r="AD13" s="153"/>
      <c r="AE13" s="153"/>
      <c r="AF13" s="153"/>
      <c r="AG13" s="153">
        <v>0.48</v>
      </c>
      <c r="AH13" s="420">
        <f t="shared" si="1"/>
        <v>12.49</v>
      </c>
      <c r="AJ13" s="424"/>
      <c r="AK13" s="423"/>
    </row>
    <row r="14" spans="1:37" ht="16.5" thickBot="1" x14ac:dyDescent="0.3">
      <c r="A14" s="132"/>
      <c r="B14" s="422" t="s">
        <v>190</v>
      </c>
      <c r="C14" s="421">
        <f t="shared" ref="C14:AG14" si="3">SUM(C9:C13)</f>
        <v>1673.94</v>
      </c>
      <c r="D14" s="421">
        <f t="shared" si="3"/>
        <v>2201.9</v>
      </c>
      <c r="E14" s="421">
        <f t="shared" si="3"/>
        <v>1952.51</v>
      </c>
      <c r="F14" s="421">
        <f t="shared" si="3"/>
        <v>1905.15</v>
      </c>
      <c r="G14" s="421">
        <f t="shared" si="3"/>
        <v>2559.06</v>
      </c>
      <c r="H14" s="421">
        <f t="shared" si="3"/>
        <v>2265.09</v>
      </c>
      <c r="I14" s="421">
        <f t="shared" si="3"/>
        <v>1853.52</v>
      </c>
      <c r="J14" s="421">
        <f t="shared" si="3"/>
        <v>1935.78</v>
      </c>
      <c r="K14" s="421">
        <f t="shared" si="3"/>
        <v>1724.05</v>
      </c>
      <c r="L14" s="421">
        <f t="shared" si="3"/>
        <v>787.02</v>
      </c>
      <c r="M14" s="421">
        <f t="shared" si="3"/>
        <v>1497.6299999999999</v>
      </c>
      <c r="N14" s="421">
        <f t="shared" si="3"/>
        <v>2343.0500000000002</v>
      </c>
      <c r="O14" s="421">
        <f t="shared" si="3"/>
        <v>1862.69</v>
      </c>
      <c r="P14" s="421">
        <f t="shared" si="3"/>
        <v>1230.4000000000001</v>
      </c>
      <c r="Q14" s="421">
        <f t="shared" si="3"/>
        <v>1253.8699999999999</v>
      </c>
      <c r="R14" s="421">
        <f t="shared" si="3"/>
        <v>1245.7099999999998</v>
      </c>
      <c r="S14" s="421">
        <f t="shared" si="3"/>
        <v>1460.3799999999999</v>
      </c>
      <c r="T14" s="421">
        <f t="shared" si="3"/>
        <v>1279.8</v>
      </c>
      <c r="U14" s="421">
        <f t="shared" si="3"/>
        <v>2453.4100000000003</v>
      </c>
      <c r="V14" s="421">
        <f t="shared" si="3"/>
        <v>1657.7600000000002</v>
      </c>
      <c r="W14" s="421">
        <f t="shared" si="3"/>
        <v>1421.3899999999999</v>
      </c>
      <c r="X14" s="421">
        <f t="shared" si="3"/>
        <v>1237.94</v>
      </c>
      <c r="Y14" s="421">
        <f t="shared" si="3"/>
        <v>1235.3700000000001</v>
      </c>
      <c r="Z14" s="421">
        <f t="shared" si="3"/>
        <v>577.78000000000009</v>
      </c>
      <c r="AA14" s="421">
        <f t="shared" si="3"/>
        <v>956.82</v>
      </c>
      <c r="AB14" s="421">
        <f t="shared" si="3"/>
        <v>1216.1599999999999</v>
      </c>
      <c r="AC14" s="421">
        <f t="shared" si="3"/>
        <v>1853.46</v>
      </c>
      <c r="AD14" s="421">
        <f t="shared" si="3"/>
        <v>919.6</v>
      </c>
      <c r="AE14" s="421">
        <f t="shared" si="3"/>
        <v>897.68000000000006</v>
      </c>
      <c r="AF14" s="421">
        <f t="shared" si="3"/>
        <v>860</v>
      </c>
      <c r="AG14" s="421">
        <f t="shared" si="3"/>
        <v>936.54000000000008</v>
      </c>
      <c r="AH14" s="420">
        <f t="shared" si="1"/>
        <v>47255.460000000006</v>
      </c>
      <c r="AJ14" s="77"/>
      <c r="AK14" s="78"/>
    </row>
    <row r="15" spans="1:37" x14ac:dyDescent="0.25">
      <c r="A15" s="134"/>
      <c r="B15" s="414" t="s">
        <v>64</v>
      </c>
      <c r="C15" s="413">
        <f t="shared" ref="C15:AG15" si="4">SUM(C3:C7,C9:C13)</f>
        <v>4403.0600000000013</v>
      </c>
      <c r="D15" s="413">
        <f t="shared" si="4"/>
        <v>5383.4000000000005</v>
      </c>
      <c r="E15" s="413">
        <f t="shared" si="4"/>
        <v>5050.1899999999996</v>
      </c>
      <c r="F15" s="413">
        <f t="shared" si="4"/>
        <v>4933.7199999999993</v>
      </c>
      <c r="G15" s="413">
        <f t="shared" si="4"/>
        <v>5642.85</v>
      </c>
      <c r="H15" s="413">
        <f t="shared" si="4"/>
        <v>4908.4400000000005</v>
      </c>
      <c r="I15" s="413">
        <f t="shared" si="4"/>
        <v>4636.67</v>
      </c>
      <c r="J15" s="413">
        <f t="shared" si="4"/>
        <v>4145.67</v>
      </c>
      <c r="K15" s="413">
        <f t="shared" si="4"/>
        <v>4128.5099999999993</v>
      </c>
      <c r="L15" s="413">
        <f t="shared" si="4"/>
        <v>3055.85</v>
      </c>
      <c r="M15" s="413">
        <f t="shared" si="4"/>
        <v>3746.76</v>
      </c>
      <c r="N15" s="413">
        <f t="shared" si="4"/>
        <v>5475.77</v>
      </c>
      <c r="O15" s="413">
        <f t="shared" si="4"/>
        <v>3872.6000000000004</v>
      </c>
      <c r="P15" s="413">
        <f t="shared" si="4"/>
        <v>2867.83</v>
      </c>
      <c r="Q15" s="413">
        <f t="shared" si="4"/>
        <v>2893.4800000000005</v>
      </c>
      <c r="R15" s="413">
        <f t="shared" si="4"/>
        <v>3100.47</v>
      </c>
      <c r="S15" s="413">
        <f t="shared" si="4"/>
        <v>3117.5000000000005</v>
      </c>
      <c r="T15" s="413">
        <f t="shared" si="4"/>
        <v>3691.7999999999997</v>
      </c>
      <c r="U15" s="413">
        <f t="shared" si="4"/>
        <v>4893.07</v>
      </c>
      <c r="V15" s="413">
        <f t="shared" si="4"/>
        <v>3690.7400000000002</v>
      </c>
      <c r="W15" s="413">
        <f t="shared" si="4"/>
        <v>2956.77</v>
      </c>
      <c r="X15" s="413">
        <f t="shared" si="4"/>
        <v>2431.12</v>
      </c>
      <c r="Y15" s="413">
        <f t="shared" si="4"/>
        <v>2827.37</v>
      </c>
      <c r="Z15" s="413">
        <f t="shared" si="4"/>
        <v>2117.8199999999997</v>
      </c>
      <c r="AA15" s="413">
        <f t="shared" si="4"/>
        <v>2836.3399999999997</v>
      </c>
      <c r="AB15" s="413">
        <f t="shared" si="4"/>
        <v>3760.0900000000006</v>
      </c>
      <c r="AC15" s="413">
        <f t="shared" si="4"/>
        <v>3840.01</v>
      </c>
      <c r="AD15" s="413">
        <f t="shared" si="4"/>
        <v>2074.23</v>
      </c>
      <c r="AE15" s="413">
        <f t="shared" si="4"/>
        <v>2316.38</v>
      </c>
      <c r="AF15" s="413">
        <f t="shared" si="4"/>
        <v>2025.98</v>
      </c>
      <c r="AG15" s="413">
        <f t="shared" si="4"/>
        <v>2421.3599999999997</v>
      </c>
      <c r="AH15" s="109">
        <f t="shared" si="1"/>
        <v>113245.85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9"/>
      <c r="AJ17" s="514" t="s">
        <v>127</v>
      </c>
      <c r="AK17" s="515"/>
      <c r="AL17" s="515"/>
      <c r="AM17" s="516"/>
    </row>
    <row r="18" spans="1:40" ht="16.5" thickBot="1" x14ac:dyDescent="0.3">
      <c r="A18" s="367" t="str">
        <f>'[1]TEMP Summary'!A12</f>
        <v>01-00-1000</v>
      </c>
      <c r="B18" s="452" t="s">
        <v>189</v>
      </c>
      <c r="C18" s="435">
        <v>951.55</v>
      </c>
      <c r="D18" s="436">
        <v>1242.18</v>
      </c>
      <c r="E18" s="436">
        <v>824.87</v>
      </c>
      <c r="F18" s="436">
        <v>883.13</v>
      </c>
      <c r="G18" s="436">
        <v>750.33</v>
      </c>
      <c r="H18" s="436">
        <v>734.69</v>
      </c>
      <c r="I18" s="436">
        <v>901.99</v>
      </c>
      <c r="J18" s="436">
        <v>918.67</v>
      </c>
      <c r="K18" s="436">
        <v>845.64</v>
      </c>
      <c r="L18" s="436">
        <v>735.64</v>
      </c>
      <c r="M18" s="436">
        <v>569.79</v>
      </c>
      <c r="N18" s="436">
        <v>989.83</v>
      </c>
      <c r="O18" s="436">
        <v>480.82</v>
      </c>
      <c r="P18" s="436">
        <v>444.07</v>
      </c>
      <c r="Q18" s="436">
        <v>641.30999999999995</v>
      </c>
      <c r="R18" s="436">
        <v>820.81</v>
      </c>
      <c r="S18" s="436">
        <v>687.65</v>
      </c>
      <c r="T18" s="107">
        <v>837.81</v>
      </c>
      <c r="U18" s="107">
        <v>850.55</v>
      </c>
      <c r="V18" s="107">
        <v>629.02</v>
      </c>
      <c r="W18" s="107">
        <v>616.15</v>
      </c>
      <c r="X18" s="107">
        <v>441.02</v>
      </c>
      <c r="Y18" s="107">
        <v>615.33000000000004</v>
      </c>
      <c r="Z18" s="107">
        <v>704.67</v>
      </c>
      <c r="AA18" s="107">
        <v>804.01</v>
      </c>
      <c r="AB18" s="107">
        <v>741.77</v>
      </c>
      <c r="AC18" s="107">
        <v>666.37</v>
      </c>
      <c r="AD18" s="107">
        <v>454.74</v>
      </c>
      <c r="AE18" s="107">
        <v>570.99</v>
      </c>
      <c r="AF18" s="107">
        <v>395.53</v>
      </c>
      <c r="AG18" s="457">
        <v>664.52</v>
      </c>
      <c r="AH18" s="418">
        <f t="shared" ref="AH18:AH24" si="5">SUM(C18:AG18)</f>
        <v>22415.449999999997</v>
      </c>
      <c r="AJ18" s="282" t="s">
        <v>66</v>
      </c>
      <c r="AK18" s="283" t="s">
        <v>128</v>
      </c>
      <c r="AL18" s="283" t="s">
        <v>120</v>
      </c>
      <c r="AM18" s="284" t="s">
        <v>121</v>
      </c>
    </row>
    <row r="19" spans="1:40" ht="16.5" thickBot="1" x14ac:dyDescent="0.3">
      <c r="A19" s="368" t="str">
        <f>'[1]TEMP Summary'!A13</f>
        <v>01-00-1000</v>
      </c>
      <c r="B19" s="453" t="s">
        <v>188</v>
      </c>
      <c r="C19" s="437">
        <v>547.58000000000004</v>
      </c>
      <c r="D19" s="438">
        <v>634.58000000000004</v>
      </c>
      <c r="E19" s="438">
        <v>610.66</v>
      </c>
      <c r="F19" s="438">
        <v>495.78</v>
      </c>
      <c r="G19" s="438">
        <v>783.26</v>
      </c>
      <c r="H19" s="438">
        <v>809.6</v>
      </c>
      <c r="I19" s="438">
        <v>738.31</v>
      </c>
      <c r="J19" s="438">
        <v>756.06</v>
      </c>
      <c r="K19" s="438">
        <v>670.46</v>
      </c>
      <c r="L19" s="438">
        <v>264.27999999999997</v>
      </c>
      <c r="M19" s="438">
        <v>613.83000000000004</v>
      </c>
      <c r="N19" s="438">
        <v>712.86</v>
      </c>
      <c r="O19" s="438">
        <v>732.47</v>
      </c>
      <c r="P19" s="438">
        <v>387.76</v>
      </c>
      <c r="Q19" s="438">
        <v>403.87</v>
      </c>
      <c r="R19" s="438">
        <v>349.5</v>
      </c>
      <c r="S19" s="438">
        <v>350.64</v>
      </c>
      <c r="T19" s="125">
        <v>345.7</v>
      </c>
      <c r="U19" s="125">
        <v>806.39</v>
      </c>
      <c r="V19" s="125">
        <v>652.4</v>
      </c>
      <c r="W19" s="125">
        <v>617.99</v>
      </c>
      <c r="X19" s="125">
        <v>579.09</v>
      </c>
      <c r="Y19" s="125">
        <v>684.06</v>
      </c>
      <c r="Z19" s="125">
        <v>258.31</v>
      </c>
      <c r="AA19" s="125">
        <v>198.15</v>
      </c>
      <c r="AB19" s="125">
        <v>370.01</v>
      </c>
      <c r="AC19" s="125">
        <v>784.1</v>
      </c>
      <c r="AD19" s="125">
        <v>451.02</v>
      </c>
      <c r="AE19" s="125">
        <v>349.87</v>
      </c>
      <c r="AF19" s="125">
        <v>414.15</v>
      </c>
      <c r="AG19" s="493">
        <v>405.29</v>
      </c>
      <c r="AH19" s="417">
        <f t="shared" si="5"/>
        <v>16778.03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3" t="s">
        <v>187</v>
      </c>
      <c r="C20" s="484">
        <v>1777.57</v>
      </c>
      <c r="D20" s="485">
        <v>1939.32</v>
      </c>
      <c r="E20" s="485">
        <v>2272.81</v>
      </c>
      <c r="F20" s="485">
        <v>2145.44</v>
      </c>
      <c r="G20" s="485">
        <v>2333.46</v>
      </c>
      <c r="H20" s="485">
        <v>1908.66</v>
      </c>
      <c r="I20" s="485">
        <f>1881.16+1881.16</f>
        <v>3762.32</v>
      </c>
      <c r="J20" s="485">
        <v>1291.22</v>
      </c>
      <c r="K20" s="485">
        <v>1578.82</v>
      </c>
      <c r="L20" s="485">
        <v>1533.19</v>
      </c>
      <c r="M20" s="485">
        <v>1679.34</v>
      </c>
      <c r="N20" s="485">
        <v>2142.89</v>
      </c>
      <c r="O20" s="485">
        <v>1529.09</v>
      </c>
      <c r="P20" s="485">
        <v>1193.3599999999999</v>
      </c>
      <c r="Q20" s="485">
        <v>998.3</v>
      </c>
      <c r="R20" s="485">
        <v>1033.95</v>
      </c>
      <c r="S20" s="485">
        <v>969.23</v>
      </c>
      <c r="T20" s="485">
        <v>1574.19</v>
      </c>
      <c r="U20" s="485">
        <v>1489.12</v>
      </c>
      <c r="V20" s="485">
        <v>1403.96</v>
      </c>
      <c r="W20" s="485">
        <v>919.23</v>
      </c>
      <c r="X20" s="485">
        <v>752.16</v>
      </c>
      <c r="Y20" s="485">
        <v>976.67</v>
      </c>
      <c r="Z20" s="485">
        <v>835.37</v>
      </c>
      <c r="AA20" s="485">
        <v>1075.51</v>
      </c>
      <c r="AB20" s="485">
        <v>1802.16</v>
      </c>
      <c r="AC20" s="491">
        <v>1320.18</v>
      </c>
      <c r="AD20" s="491">
        <v>699.89</v>
      </c>
      <c r="AE20" s="491">
        <v>847.71</v>
      </c>
      <c r="AF20" s="491">
        <v>770.45</v>
      </c>
      <c r="AG20" s="492">
        <v>820.3</v>
      </c>
      <c r="AH20" s="417">
        <f t="shared" si="5"/>
        <v>45375.87000000001</v>
      </c>
      <c r="AJ20" s="126" t="s">
        <v>60</v>
      </c>
      <c r="AK20" s="127" t="s">
        <v>54</v>
      </c>
      <c r="AL20" s="450">
        <f>SUM(C18:AF19,AG18)</f>
        <v>38788.189999999988</v>
      </c>
      <c r="AM20" s="451">
        <f>SUM(AG19)</f>
        <v>405.29</v>
      </c>
    </row>
    <row r="21" spans="1:40" ht="15.75" x14ac:dyDescent="0.25">
      <c r="A21" s="368" t="str">
        <f>'[1]TEMP Summary'!A15</f>
        <v>01-00-1000</v>
      </c>
      <c r="B21" s="453" t="s">
        <v>186</v>
      </c>
      <c r="C21" s="484">
        <v>1126.3599999999999</v>
      </c>
      <c r="D21" s="485">
        <v>1567.32</v>
      </c>
      <c r="E21" s="485">
        <v>1341.85</v>
      </c>
      <c r="F21" s="485">
        <v>1409.37</v>
      </c>
      <c r="G21" s="485">
        <v>1775.8</v>
      </c>
      <c r="H21" s="485">
        <v>1455.49</v>
      </c>
      <c r="I21" s="485">
        <f>1115.21+1115.21</f>
        <v>2230.42</v>
      </c>
      <c r="J21" s="485">
        <v>1179.72</v>
      </c>
      <c r="K21" s="485">
        <v>1053.5899999999999</v>
      </c>
      <c r="L21" s="485">
        <v>522.74</v>
      </c>
      <c r="M21" s="485">
        <v>883.8</v>
      </c>
      <c r="N21" s="485">
        <v>1630.19</v>
      </c>
      <c r="O21" s="485">
        <v>1130.22</v>
      </c>
      <c r="P21" s="485">
        <v>842.64</v>
      </c>
      <c r="Q21" s="485">
        <v>850</v>
      </c>
      <c r="R21" s="485">
        <v>896.22</v>
      </c>
      <c r="S21" s="485">
        <v>1109.74</v>
      </c>
      <c r="T21" s="485">
        <v>934.1</v>
      </c>
      <c r="U21" s="485">
        <v>1647.02</v>
      </c>
      <c r="V21" s="485">
        <v>1005.36</v>
      </c>
      <c r="W21" s="485">
        <v>803.4</v>
      </c>
      <c r="X21" s="485">
        <v>658.85</v>
      </c>
      <c r="Y21" s="485">
        <v>651.30999999999995</v>
      </c>
      <c r="Z21" s="485">
        <v>319.47000000000003</v>
      </c>
      <c r="AA21" s="485">
        <v>758.67</v>
      </c>
      <c r="AB21" s="485">
        <v>826.34</v>
      </c>
      <c r="AC21" s="491">
        <v>1069.3599999999999</v>
      </c>
      <c r="AD21" s="491">
        <v>468.58</v>
      </c>
      <c r="AE21" s="491">
        <v>547.80999999999995</v>
      </c>
      <c r="AF21" s="491">
        <v>445.85</v>
      </c>
      <c r="AG21" s="492">
        <v>531.25</v>
      </c>
      <c r="AH21" s="417">
        <f>SUM(C21:AG21)</f>
        <v>31672.840000000004</v>
      </c>
      <c r="AJ21" s="129" t="s">
        <v>60</v>
      </c>
      <c r="AK21" s="130" t="s">
        <v>202</v>
      </c>
      <c r="AL21" s="290">
        <f>SUM(C20:AB21)-AL29</f>
        <v>67354.28</v>
      </c>
      <c r="AM21" s="291">
        <f>SUM(AC20:AG21)-AM29</f>
        <v>7286.0500000000011</v>
      </c>
    </row>
    <row r="22" spans="1:40" ht="15.75" x14ac:dyDescent="0.25">
      <c r="A22" s="368" t="s">
        <v>60</v>
      </c>
      <c r="B22" s="460" t="s">
        <v>204</v>
      </c>
      <c r="C22" s="461"/>
      <c r="D22" s="462"/>
      <c r="E22" s="462"/>
      <c r="F22" s="462"/>
      <c r="G22" s="462"/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462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3"/>
      <c r="AH22" s="417">
        <f>SUM(C22:AG22)</f>
        <v>0</v>
      </c>
      <c r="AJ22" s="361" t="s">
        <v>60</v>
      </c>
      <c r="AK22" s="362" t="s">
        <v>206</v>
      </c>
      <c r="AL22" s="363">
        <f>SUM(C22:AE23)</f>
        <v>0</v>
      </c>
      <c r="AM22" s="364">
        <f>SUM(AF22:AG23)</f>
        <v>0</v>
      </c>
    </row>
    <row r="23" spans="1:40" ht="16.5" thickBot="1" x14ac:dyDescent="0.3">
      <c r="A23" s="369" t="s">
        <v>60</v>
      </c>
      <c r="B23" s="454" t="s">
        <v>205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58"/>
      <c r="AH23" s="416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5"/>
      <c r="B24" s="456" t="s">
        <v>65</v>
      </c>
      <c r="C24" s="472">
        <f>SUM(C18:C23)</f>
        <v>4403.0599999999995</v>
      </c>
      <c r="D24" s="473">
        <f t="shared" ref="D24:AG24" si="6">SUM(D18:D23)</f>
        <v>5383.4</v>
      </c>
      <c r="E24" s="473">
        <f t="shared" si="6"/>
        <v>5050.1900000000005</v>
      </c>
      <c r="F24" s="473">
        <f t="shared" si="6"/>
        <v>4933.7199999999993</v>
      </c>
      <c r="G24" s="473">
        <f t="shared" si="6"/>
        <v>5642.85</v>
      </c>
      <c r="H24" s="473">
        <f t="shared" si="6"/>
        <v>4908.4399999999996</v>
      </c>
      <c r="I24" s="473">
        <f t="shared" si="6"/>
        <v>7633.04</v>
      </c>
      <c r="J24" s="473">
        <f t="shared" si="6"/>
        <v>4145.67</v>
      </c>
      <c r="K24" s="473">
        <f t="shared" si="6"/>
        <v>4148.51</v>
      </c>
      <c r="L24" s="473">
        <f t="shared" si="6"/>
        <v>3055.8500000000004</v>
      </c>
      <c r="M24" s="473">
        <f t="shared" si="6"/>
        <v>3746.76</v>
      </c>
      <c r="N24" s="473">
        <f t="shared" si="6"/>
        <v>5475.77</v>
      </c>
      <c r="O24" s="473">
        <f t="shared" si="6"/>
        <v>3872.6000000000004</v>
      </c>
      <c r="P24" s="473">
        <f t="shared" si="6"/>
        <v>2867.83</v>
      </c>
      <c r="Q24" s="473">
        <f t="shared" si="6"/>
        <v>2893.4799999999996</v>
      </c>
      <c r="R24" s="473">
        <f t="shared" si="6"/>
        <v>3100.4800000000005</v>
      </c>
      <c r="S24" s="473">
        <f t="shared" si="6"/>
        <v>3117.26</v>
      </c>
      <c r="T24" s="473">
        <f t="shared" si="6"/>
        <v>3691.7999999999997</v>
      </c>
      <c r="U24" s="473">
        <f t="shared" si="6"/>
        <v>4793.08</v>
      </c>
      <c r="V24" s="473">
        <f t="shared" si="6"/>
        <v>3690.7400000000002</v>
      </c>
      <c r="W24" s="473">
        <f t="shared" si="6"/>
        <v>2956.77</v>
      </c>
      <c r="X24" s="473">
        <f t="shared" si="6"/>
        <v>2431.12</v>
      </c>
      <c r="Y24" s="473">
        <f t="shared" si="6"/>
        <v>2927.37</v>
      </c>
      <c r="Z24" s="473">
        <f t="shared" si="6"/>
        <v>2117.8199999999997</v>
      </c>
      <c r="AA24" s="473">
        <f t="shared" si="6"/>
        <v>2836.34</v>
      </c>
      <c r="AB24" s="473">
        <f t="shared" si="6"/>
        <v>3740.28</v>
      </c>
      <c r="AC24" s="473">
        <f t="shared" si="6"/>
        <v>3840.01</v>
      </c>
      <c r="AD24" s="473">
        <f t="shared" si="6"/>
        <v>2074.23</v>
      </c>
      <c r="AE24" s="473">
        <f t="shared" si="6"/>
        <v>2316.38</v>
      </c>
      <c r="AF24" s="473">
        <f t="shared" si="6"/>
        <v>2025.98</v>
      </c>
      <c r="AG24" s="474">
        <f t="shared" si="6"/>
        <v>2421.3599999999997</v>
      </c>
      <c r="AH24" s="459">
        <f t="shared" si="5"/>
        <v>116242.18999999997</v>
      </c>
      <c r="AJ24" s="135" t="s">
        <v>84</v>
      </c>
      <c r="AK24" s="136" t="s">
        <v>33</v>
      </c>
      <c r="AL24" s="292">
        <f>SUM(AH26:AH27)</f>
        <v>-2996.3400000000006</v>
      </c>
      <c r="AM24" s="293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503" t="s">
        <v>76</v>
      </c>
      <c r="AK25" s="517"/>
      <c r="AL25" s="518">
        <f>SUM(AL20:AM24)</f>
        <v>110837.46999999999</v>
      </c>
      <c r="AM25" s="519"/>
      <c r="AN25" s="294">
        <f>AL25-(AH24+AH26+AH27-AH29)</f>
        <v>0</v>
      </c>
    </row>
    <row r="26" spans="1:40" ht="15.75" x14ac:dyDescent="0.25">
      <c r="A26" s="415"/>
      <c r="B26" s="414" t="s">
        <v>185</v>
      </c>
      <c r="C26" s="413">
        <f t="shared" ref="C26:AG26" si="7">SUM(C3:C7)-(C18+C20)</f>
        <v>0</v>
      </c>
      <c r="D26" s="413">
        <f t="shared" si="7"/>
        <v>0</v>
      </c>
      <c r="E26" s="413">
        <f t="shared" si="7"/>
        <v>0</v>
      </c>
      <c r="F26" s="413">
        <f t="shared" si="7"/>
        <v>0</v>
      </c>
      <c r="G26" s="413">
        <f t="shared" si="7"/>
        <v>0</v>
      </c>
      <c r="H26" s="413">
        <f t="shared" si="7"/>
        <v>0</v>
      </c>
      <c r="I26" s="413">
        <f t="shared" si="7"/>
        <v>-1881.1600000000003</v>
      </c>
      <c r="J26" s="413">
        <f t="shared" si="7"/>
        <v>0</v>
      </c>
      <c r="K26" s="413">
        <f t="shared" si="7"/>
        <v>-20</v>
      </c>
      <c r="L26" s="413">
        <f t="shared" si="7"/>
        <v>0</v>
      </c>
      <c r="M26" s="413">
        <f t="shared" si="7"/>
        <v>0</v>
      </c>
      <c r="N26" s="413">
        <f t="shared" si="7"/>
        <v>0</v>
      </c>
      <c r="O26" s="413">
        <f t="shared" si="7"/>
        <v>0</v>
      </c>
      <c r="P26" s="413">
        <f t="shared" si="7"/>
        <v>0</v>
      </c>
      <c r="Q26" s="413">
        <f t="shared" si="7"/>
        <v>0</v>
      </c>
      <c r="R26" s="413">
        <f t="shared" si="7"/>
        <v>0</v>
      </c>
      <c r="S26" s="413">
        <f t="shared" si="7"/>
        <v>0.24000000000000909</v>
      </c>
      <c r="T26" s="413">
        <f t="shared" si="7"/>
        <v>0</v>
      </c>
      <c r="U26" s="413">
        <f t="shared" si="7"/>
        <v>99.989999999999782</v>
      </c>
      <c r="V26" s="413">
        <f t="shared" si="7"/>
        <v>0</v>
      </c>
      <c r="W26" s="413">
        <f t="shared" si="7"/>
        <v>0</v>
      </c>
      <c r="X26" s="413">
        <f t="shared" si="7"/>
        <v>0</v>
      </c>
      <c r="Y26" s="413">
        <f t="shared" si="7"/>
        <v>0</v>
      </c>
      <c r="Z26" s="413">
        <f t="shared" si="7"/>
        <v>0</v>
      </c>
      <c r="AA26" s="413">
        <f t="shared" si="7"/>
        <v>0</v>
      </c>
      <c r="AB26" s="413">
        <f t="shared" si="7"/>
        <v>0</v>
      </c>
      <c r="AC26" s="413">
        <f t="shared" si="7"/>
        <v>0</v>
      </c>
      <c r="AD26" s="413">
        <f t="shared" si="7"/>
        <v>0</v>
      </c>
      <c r="AE26" s="413">
        <f t="shared" si="7"/>
        <v>0</v>
      </c>
      <c r="AF26" s="413">
        <f t="shared" si="7"/>
        <v>0</v>
      </c>
      <c r="AG26" s="413">
        <f t="shared" si="7"/>
        <v>0</v>
      </c>
      <c r="AH26" s="110">
        <f>SUM(C26:AG26)</f>
        <v>-1800.9300000000005</v>
      </c>
    </row>
    <row r="27" spans="1:40" ht="16.5" thickBot="1" x14ac:dyDescent="0.3">
      <c r="A27" s="412"/>
      <c r="B27" s="183" t="s">
        <v>184</v>
      </c>
      <c r="C27" s="411">
        <f t="shared" ref="C27:AG27" si="8">SUM(C9:C13)-(C19+C21)</f>
        <v>0</v>
      </c>
      <c r="D27" s="411">
        <f t="shared" si="8"/>
        <v>0</v>
      </c>
      <c r="E27" s="411">
        <f t="shared" si="8"/>
        <v>0</v>
      </c>
      <c r="F27" s="411">
        <f t="shared" si="8"/>
        <v>0</v>
      </c>
      <c r="G27" s="411">
        <f t="shared" si="8"/>
        <v>0</v>
      </c>
      <c r="H27" s="411">
        <f t="shared" si="8"/>
        <v>0</v>
      </c>
      <c r="I27" s="411">
        <f t="shared" si="8"/>
        <v>-1115.21</v>
      </c>
      <c r="J27" s="411">
        <f t="shared" si="8"/>
        <v>0</v>
      </c>
      <c r="K27" s="411">
        <f t="shared" si="8"/>
        <v>0</v>
      </c>
      <c r="L27" s="411">
        <f t="shared" si="8"/>
        <v>0</v>
      </c>
      <c r="M27" s="411">
        <f t="shared" si="8"/>
        <v>0</v>
      </c>
      <c r="N27" s="411">
        <f t="shared" si="8"/>
        <v>0</v>
      </c>
      <c r="O27" s="411">
        <f t="shared" si="8"/>
        <v>0</v>
      </c>
      <c r="P27" s="411">
        <f t="shared" si="8"/>
        <v>0</v>
      </c>
      <c r="Q27" s="411">
        <f t="shared" si="8"/>
        <v>0</v>
      </c>
      <c r="R27" s="411">
        <f t="shared" si="8"/>
        <v>-1.0000000000218279E-2</v>
      </c>
      <c r="S27" s="411">
        <f t="shared" si="8"/>
        <v>0</v>
      </c>
      <c r="T27" s="411">
        <f t="shared" si="8"/>
        <v>0</v>
      </c>
      <c r="U27" s="411">
        <f t="shared" si="8"/>
        <v>0</v>
      </c>
      <c r="V27" s="411">
        <f t="shared" si="8"/>
        <v>0</v>
      </c>
      <c r="W27" s="411">
        <f t="shared" si="8"/>
        <v>0</v>
      </c>
      <c r="X27" s="411">
        <f t="shared" si="8"/>
        <v>0</v>
      </c>
      <c r="Y27" s="411">
        <f t="shared" si="8"/>
        <v>-99.999999999999773</v>
      </c>
      <c r="Z27" s="411">
        <f t="shared" si="8"/>
        <v>0</v>
      </c>
      <c r="AA27" s="411">
        <f t="shared" si="8"/>
        <v>0</v>
      </c>
      <c r="AB27" s="411">
        <f t="shared" si="8"/>
        <v>19.809999999999945</v>
      </c>
      <c r="AC27" s="411">
        <f t="shared" si="8"/>
        <v>0</v>
      </c>
      <c r="AD27" s="411">
        <f t="shared" si="8"/>
        <v>0</v>
      </c>
      <c r="AE27" s="411">
        <f t="shared" si="8"/>
        <v>0</v>
      </c>
      <c r="AF27" s="411">
        <f t="shared" si="8"/>
        <v>0</v>
      </c>
      <c r="AG27" s="411">
        <f t="shared" si="8"/>
        <v>0</v>
      </c>
      <c r="AH27" s="112">
        <f>SUM(C27:AG27)</f>
        <v>-1195.4100000000001</v>
      </c>
    </row>
    <row r="28" spans="1:40" ht="16.5" thickBot="1" x14ac:dyDescent="0.3">
      <c r="A28" s="444"/>
      <c r="B28" s="444"/>
      <c r="C28" s="445"/>
      <c r="D28" s="445"/>
      <c r="E28" s="445"/>
      <c r="F28" s="445"/>
      <c r="G28" s="445"/>
      <c r="H28" s="445"/>
      <c r="I28" s="445"/>
      <c r="J28" s="445"/>
      <c r="K28" s="445"/>
      <c r="L28" s="445"/>
      <c r="M28" s="445"/>
      <c r="N28" s="445"/>
      <c r="O28" s="445"/>
      <c r="P28" s="445"/>
      <c r="Q28" s="445"/>
      <c r="R28" s="445"/>
      <c r="S28" s="445"/>
      <c r="T28" s="445"/>
      <c r="U28" s="445"/>
      <c r="V28" s="445"/>
      <c r="W28" s="445"/>
      <c r="X28" s="445"/>
      <c r="Y28" s="445"/>
      <c r="Z28" s="445"/>
      <c r="AA28" s="445"/>
      <c r="AB28" s="445"/>
      <c r="AC28" s="445"/>
      <c r="AD28" s="445"/>
      <c r="AE28" s="445"/>
      <c r="AF28" s="445"/>
      <c r="AG28" s="445"/>
      <c r="AH28" s="446"/>
    </row>
    <row r="29" spans="1:40" ht="16.5" thickBot="1" x14ac:dyDescent="0.3">
      <c r="A29" s="447" t="s">
        <v>203</v>
      </c>
      <c r="B29" s="448" t="s">
        <v>195</v>
      </c>
      <c r="C29" s="486">
        <v>90.68</v>
      </c>
      <c r="D29" s="486">
        <v>109.44</v>
      </c>
      <c r="E29" s="486">
        <v>112.86</v>
      </c>
      <c r="F29" s="486">
        <v>111.05</v>
      </c>
      <c r="G29" s="486">
        <v>128.97</v>
      </c>
      <c r="H29" s="486">
        <v>105.05</v>
      </c>
      <c r="I29" s="486">
        <f>93.55+93.55</f>
        <v>187.1</v>
      </c>
      <c r="J29" s="486">
        <v>77.14</v>
      </c>
      <c r="K29" s="486">
        <v>82.24</v>
      </c>
      <c r="L29" s="486">
        <v>64.239999999999995</v>
      </c>
      <c r="M29" s="486">
        <v>80.03</v>
      </c>
      <c r="N29" s="486">
        <v>117.93</v>
      </c>
      <c r="O29" s="486">
        <v>83.06</v>
      </c>
      <c r="P29" s="486">
        <v>63.5</v>
      </c>
      <c r="Q29" s="486">
        <v>57.75</v>
      </c>
      <c r="R29" s="486">
        <v>60.33</v>
      </c>
      <c r="S29" s="486">
        <v>64.95</v>
      </c>
      <c r="T29" s="486">
        <v>78.319999999999993</v>
      </c>
      <c r="U29" s="486">
        <v>98.33</v>
      </c>
      <c r="V29" s="486">
        <v>75.290000000000006</v>
      </c>
      <c r="W29" s="486">
        <v>53.91</v>
      </c>
      <c r="X29" s="486">
        <v>44.09</v>
      </c>
      <c r="Y29" s="486">
        <v>50.89</v>
      </c>
      <c r="Z29" s="486">
        <v>36.06</v>
      </c>
      <c r="AA29" s="486">
        <v>57.33</v>
      </c>
      <c r="AB29" s="486">
        <v>82.51</v>
      </c>
      <c r="AC29" s="494">
        <v>74.900000000000006</v>
      </c>
      <c r="AD29" s="494">
        <v>36.549999999999997</v>
      </c>
      <c r="AE29" s="494">
        <v>43.62</v>
      </c>
      <c r="AF29" s="494">
        <v>37.99</v>
      </c>
      <c r="AG29" s="494">
        <v>42.27</v>
      </c>
      <c r="AH29" s="449">
        <f>SUM(C29:AG29)</f>
        <v>2408.38</v>
      </c>
      <c r="AJ29" s="211" t="s">
        <v>203</v>
      </c>
      <c r="AK29" s="212" t="s">
        <v>197</v>
      </c>
      <c r="AL29" s="271">
        <f>SUM(C29:AB29)</f>
        <v>2173.0500000000002</v>
      </c>
      <c r="AM29" s="272">
        <f>SUM(AC29:AG29)</f>
        <v>235.33</v>
      </c>
    </row>
    <row r="30" spans="1:40" ht="16.5" thickBot="1" x14ac:dyDescent="0.3">
      <c r="B30" s="60" t="s">
        <v>232</v>
      </c>
      <c r="C30" s="481">
        <f>C20+C21-C29</f>
        <v>2813.25</v>
      </c>
      <c r="D30" s="481">
        <f t="shared" ref="D30:AG30" si="9">D20+D21-D29</f>
        <v>3397.2</v>
      </c>
      <c r="E30" s="481">
        <f t="shared" si="9"/>
        <v>3501.7999999999997</v>
      </c>
      <c r="F30" s="481">
        <f t="shared" si="9"/>
        <v>3443.7599999999998</v>
      </c>
      <c r="G30" s="481">
        <f t="shared" si="9"/>
        <v>3980.2900000000004</v>
      </c>
      <c r="H30" s="481">
        <f t="shared" si="9"/>
        <v>3259.1</v>
      </c>
      <c r="I30" s="481">
        <f t="shared" si="9"/>
        <v>5805.6399999999994</v>
      </c>
      <c r="J30" s="481">
        <f t="shared" si="9"/>
        <v>2393.8000000000002</v>
      </c>
      <c r="K30" s="481">
        <f t="shared" si="9"/>
        <v>2550.17</v>
      </c>
      <c r="L30" s="481">
        <f t="shared" si="9"/>
        <v>1991.6900000000003</v>
      </c>
      <c r="M30" s="481">
        <f t="shared" si="9"/>
        <v>2483.1099999999997</v>
      </c>
      <c r="N30" s="481">
        <f t="shared" si="9"/>
        <v>3655.15</v>
      </c>
      <c r="O30" s="481">
        <f t="shared" si="9"/>
        <v>2576.25</v>
      </c>
      <c r="P30" s="481">
        <f t="shared" si="9"/>
        <v>1972.5</v>
      </c>
      <c r="Q30" s="481">
        <f t="shared" si="9"/>
        <v>1790.55</v>
      </c>
      <c r="R30" s="481">
        <f t="shared" si="9"/>
        <v>1869.8400000000001</v>
      </c>
      <c r="S30" s="481">
        <f t="shared" si="9"/>
        <v>2014.0200000000002</v>
      </c>
      <c r="T30" s="481">
        <f t="shared" si="9"/>
        <v>2429.9699999999998</v>
      </c>
      <c r="U30" s="481">
        <f t="shared" si="9"/>
        <v>3037.81</v>
      </c>
      <c r="V30" s="481">
        <f t="shared" si="9"/>
        <v>2334.0300000000002</v>
      </c>
      <c r="W30" s="481">
        <f t="shared" si="9"/>
        <v>1668.72</v>
      </c>
      <c r="X30" s="481">
        <f t="shared" si="9"/>
        <v>1366.92</v>
      </c>
      <c r="Y30" s="481">
        <f t="shared" si="9"/>
        <v>1577.09</v>
      </c>
      <c r="Z30" s="481">
        <f t="shared" si="9"/>
        <v>1118.7800000000002</v>
      </c>
      <c r="AA30" s="481">
        <f t="shared" si="9"/>
        <v>1776.85</v>
      </c>
      <c r="AB30" s="481">
        <f t="shared" si="9"/>
        <v>2545.9899999999998</v>
      </c>
      <c r="AC30" s="481">
        <f t="shared" si="9"/>
        <v>2314.64</v>
      </c>
      <c r="AD30" s="481">
        <f t="shared" si="9"/>
        <v>1131.92</v>
      </c>
      <c r="AE30" s="481">
        <f t="shared" si="9"/>
        <v>1351.9</v>
      </c>
      <c r="AF30" s="481">
        <f t="shared" si="9"/>
        <v>1178.3100000000002</v>
      </c>
      <c r="AG30" s="481">
        <f t="shared" si="9"/>
        <v>1309.28</v>
      </c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12" t="s">
        <v>57</v>
      </c>
      <c r="AK31" s="513"/>
    </row>
    <row r="32" spans="1:40" x14ac:dyDescent="0.25">
      <c r="A32" s="168"/>
      <c r="B32" s="139" t="s">
        <v>75</v>
      </c>
      <c r="C32" s="144">
        <v>223</v>
      </c>
      <c r="D32" s="144">
        <v>218</v>
      </c>
      <c r="E32" s="144">
        <v>242</v>
      </c>
      <c r="F32" s="144">
        <v>261</v>
      </c>
      <c r="G32" s="144">
        <v>307</v>
      </c>
      <c r="H32" s="144">
        <v>246</v>
      </c>
      <c r="I32" s="144">
        <v>267</v>
      </c>
      <c r="J32" s="144">
        <v>191</v>
      </c>
      <c r="K32" s="144">
        <v>202</v>
      </c>
      <c r="L32" s="144">
        <v>191</v>
      </c>
      <c r="M32" s="144">
        <v>175</v>
      </c>
      <c r="N32" s="144">
        <v>316</v>
      </c>
      <c r="O32" s="144">
        <v>193</v>
      </c>
      <c r="P32" s="144">
        <v>147</v>
      </c>
      <c r="Q32" s="144">
        <v>147</v>
      </c>
      <c r="R32" s="144">
        <v>159</v>
      </c>
      <c r="S32" s="144">
        <v>160</v>
      </c>
      <c r="T32" s="144">
        <v>200</v>
      </c>
      <c r="U32" s="144">
        <v>223</v>
      </c>
      <c r="V32" s="144">
        <v>184</v>
      </c>
      <c r="W32" s="144">
        <v>150</v>
      </c>
      <c r="X32" s="144">
        <v>90</v>
      </c>
      <c r="Y32" s="144">
        <v>145</v>
      </c>
      <c r="Z32" s="144">
        <v>114</v>
      </c>
      <c r="AA32" s="144">
        <v>168</v>
      </c>
      <c r="AB32" s="144">
        <v>241</v>
      </c>
      <c r="AC32" s="144">
        <v>208</v>
      </c>
      <c r="AD32" s="144">
        <v>110</v>
      </c>
      <c r="AE32" s="144">
        <v>115</v>
      </c>
      <c r="AF32" s="144">
        <v>91</v>
      </c>
      <c r="AG32" s="144">
        <v>117</v>
      </c>
      <c r="AH32" s="410">
        <f t="shared" ref="AH32:AH44" si="10">SUM(C32:AG32)</f>
        <v>5801</v>
      </c>
      <c r="AJ32" s="257">
        <f>AH32+AH39</f>
        <v>10175</v>
      </c>
      <c r="AK32" s="258" t="s">
        <v>75</v>
      </c>
    </row>
    <row r="33" spans="1:37" x14ac:dyDescent="0.25">
      <c r="A33" s="168"/>
      <c r="B33" s="143" t="s">
        <v>74</v>
      </c>
      <c r="C33" s="144">
        <v>87</v>
      </c>
      <c r="D33" s="144">
        <v>103</v>
      </c>
      <c r="E33" s="144">
        <v>120</v>
      </c>
      <c r="F33" s="144">
        <v>97</v>
      </c>
      <c r="G33" s="144">
        <v>102</v>
      </c>
      <c r="H33" s="144">
        <v>80</v>
      </c>
      <c r="I33" s="144">
        <v>99</v>
      </c>
      <c r="J33" s="144">
        <v>63</v>
      </c>
      <c r="K33" s="144">
        <v>59</v>
      </c>
      <c r="L33" s="144">
        <v>54</v>
      </c>
      <c r="M33" s="144">
        <v>53</v>
      </c>
      <c r="N33" s="144">
        <v>82</v>
      </c>
      <c r="O33" s="144">
        <v>49</v>
      </c>
      <c r="P33" s="144">
        <v>21</v>
      </c>
      <c r="Q33" s="144">
        <v>27</v>
      </c>
      <c r="R33" s="144">
        <v>19</v>
      </c>
      <c r="S33" s="144">
        <v>22</v>
      </c>
      <c r="T33" s="144">
        <v>32</v>
      </c>
      <c r="U33" s="144">
        <v>43</v>
      </c>
      <c r="V33" s="144">
        <v>34</v>
      </c>
      <c r="W33" s="144">
        <v>12</v>
      </c>
      <c r="X33" s="144">
        <v>11</v>
      </c>
      <c r="Y33" s="144">
        <v>19</v>
      </c>
      <c r="Z33" s="144">
        <v>10</v>
      </c>
      <c r="AA33" s="144">
        <v>15</v>
      </c>
      <c r="AB33" s="144">
        <v>42</v>
      </c>
      <c r="AC33" s="144">
        <v>18</v>
      </c>
      <c r="AD33" s="144">
        <v>3</v>
      </c>
      <c r="AE33" s="144">
        <v>7</v>
      </c>
      <c r="AF33" s="144">
        <v>8</v>
      </c>
      <c r="AG33" s="144">
        <v>24</v>
      </c>
      <c r="AH33" s="409">
        <f t="shared" si="10"/>
        <v>1415</v>
      </c>
      <c r="AJ33" s="257">
        <f t="shared" ref="AJ33:AJ37" si="11">AH33+AH40</f>
        <v>2448</v>
      </c>
      <c r="AK33" s="258" t="s">
        <v>74</v>
      </c>
    </row>
    <row r="34" spans="1:37" x14ac:dyDescent="0.25">
      <c r="A34" s="168"/>
      <c r="B34" s="143" t="s">
        <v>199</v>
      </c>
      <c r="C34" s="144">
        <v>6</v>
      </c>
      <c r="D34" s="144">
        <v>2</v>
      </c>
      <c r="E34" s="144">
        <v>3</v>
      </c>
      <c r="F34" s="144">
        <f>'[1]TEMP Summary'!$T$22</f>
        <v>0</v>
      </c>
      <c r="G34" s="144">
        <v>9</v>
      </c>
      <c r="H34" s="144">
        <v>20</v>
      </c>
      <c r="I34" s="144">
        <v>13</v>
      </c>
      <c r="J34" s="144">
        <v>1</v>
      </c>
      <c r="K34" s="144">
        <v>0</v>
      </c>
      <c r="L34" s="144">
        <v>3</v>
      </c>
      <c r="M34" s="144">
        <f>'[1]TEMP Summary'!$T$22</f>
        <v>0</v>
      </c>
      <c r="N34" s="144">
        <v>5</v>
      </c>
      <c r="O34" s="144">
        <v>13</v>
      </c>
      <c r="P34" s="144">
        <v>7</v>
      </c>
      <c r="Q34" s="144">
        <f>'[1]TEMP Summary'!$T$22</f>
        <v>0</v>
      </c>
      <c r="R34" s="144">
        <f>'[1]TEMP Summary'!$T$22</f>
        <v>0</v>
      </c>
      <c r="S34" s="144">
        <v>2</v>
      </c>
      <c r="T34" s="144">
        <f>'[1]TEMP Summary'!$T$22</f>
        <v>0</v>
      </c>
      <c r="U34" s="144">
        <f>'[1]TEMP Summary'!$T$22</f>
        <v>0</v>
      </c>
      <c r="V34" s="144">
        <v>4</v>
      </c>
      <c r="W34" s="144">
        <v>5</v>
      </c>
      <c r="X34" s="144">
        <v>2</v>
      </c>
      <c r="Y34" s="144">
        <f>'[1]TEMP Summary'!$T$22</f>
        <v>0</v>
      </c>
      <c r="Z34" s="144">
        <v>4</v>
      </c>
      <c r="AA34" s="144">
        <f>'[1]TEMP Summary'!$T$22</f>
        <v>0</v>
      </c>
      <c r="AB34" s="144">
        <v>1</v>
      </c>
      <c r="AC34" s="144">
        <f>'[1]TEMP Summary'!$T$22</f>
        <v>0</v>
      </c>
      <c r="AD34" s="144">
        <v>3</v>
      </c>
      <c r="AE34" s="144">
        <v>1</v>
      </c>
      <c r="AF34" s="144">
        <f>'[1]TEMP Summary'!$T$22</f>
        <v>0</v>
      </c>
      <c r="AG34" s="144">
        <v>1</v>
      </c>
      <c r="AH34" s="409">
        <f t="shared" si="10"/>
        <v>105</v>
      </c>
      <c r="AJ34" s="257">
        <f t="shared" si="11"/>
        <v>216</v>
      </c>
      <c r="AK34" s="258" t="s">
        <v>200</v>
      </c>
    </row>
    <row r="35" spans="1:37" x14ac:dyDescent="0.25">
      <c r="A35" s="168"/>
      <c r="B35" s="143" t="s">
        <v>72</v>
      </c>
      <c r="C35" s="144">
        <v>40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v>26</v>
      </c>
      <c r="N35" s="144">
        <f>'[1]TEMP Summary'!$T$22</f>
        <v>0</v>
      </c>
      <c r="O35" s="144">
        <f>'[1]TEMP Summary'!$T$22</f>
        <v>0</v>
      </c>
      <c r="P35" s="144">
        <f>'[1]TEMP Summary'!$T$22</f>
        <v>0</v>
      </c>
      <c r="Q35" s="144">
        <f>'[1]TEMP Summary'!$T$22</f>
        <v>0</v>
      </c>
      <c r="R35" s="144">
        <f>'[1]TEMP Summary'!$T$22</f>
        <v>0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v>10</v>
      </c>
      <c r="AB35" s="144">
        <f>'[1]TEMP Summary'!$T$22</f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09">
        <f t="shared" si="10"/>
        <v>76</v>
      </c>
      <c r="AJ35" s="257">
        <f t="shared" si="11"/>
        <v>117</v>
      </c>
      <c r="AK35" s="258" t="s">
        <v>72</v>
      </c>
    </row>
    <row r="36" spans="1:37" x14ac:dyDescent="0.25">
      <c r="A36" s="168"/>
      <c r="B36" s="143" t="s">
        <v>73</v>
      </c>
      <c r="C36" s="144">
        <v>49</v>
      </c>
      <c r="D36" s="144">
        <v>69</v>
      </c>
      <c r="E36" s="144">
        <v>75</v>
      </c>
      <c r="F36" s="144">
        <v>57</v>
      </c>
      <c r="G36" s="144">
        <v>38</v>
      </c>
      <c r="H36" s="144">
        <v>66</v>
      </c>
      <c r="I36" s="144">
        <v>43</v>
      </c>
      <c r="J36" s="144">
        <v>52</v>
      </c>
      <c r="K36" s="144">
        <v>51</v>
      </c>
      <c r="L36" s="144">
        <v>58</v>
      </c>
      <c r="M36" s="144">
        <v>55</v>
      </c>
      <c r="N36" s="144">
        <v>49</v>
      </c>
      <c r="O36" s="144">
        <v>39</v>
      </c>
      <c r="P36" s="144">
        <v>45</v>
      </c>
      <c r="Q36" s="144">
        <v>51</v>
      </c>
      <c r="R36" s="144">
        <v>57</v>
      </c>
      <c r="S36" s="144">
        <v>45</v>
      </c>
      <c r="T36" s="144">
        <v>68</v>
      </c>
      <c r="U36" s="144">
        <v>62</v>
      </c>
      <c r="V36" s="144">
        <v>50</v>
      </c>
      <c r="W36" s="144">
        <v>55</v>
      </c>
      <c r="X36" s="144">
        <v>62</v>
      </c>
      <c r="Y36" s="144">
        <v>50</v>
      </c>
      <c r="Z36" s="144">
        <v>71</v>
      </c>
      <c r="AA36" s="144">
        <v>59</v>
      </c>
      <c r="AB36" s="144">
        <v>74</v>
      </c>
      <c r="AC36" s="144">
        <v>44</v>
      </c>
      <c r="AD36" s="144">
        <v>43</v>
      </c>
      <c r="AE36" s="144">
        <v>59</v>
      </c>
      <c r="AF36" s="144">
        <v>52</v>
      </c>
      <c r="AG36" s="144">
        <v>59</v>
      </c>
      <c r="AH36" s="409">
        <f t="shared" si="10"/>
        <v>1707</v>
      </c>
      <c r="AJ36" s="257">
        <f t="shared" si="11"/>
        <v>2741</v>
      </c>
      <c r="AK36" s="258" t="s">
        <v>73</v>
      </c>
    </row>
    <row r="37" spans="1:37" x14ac:dyDescent="0.25">
      <c r="A37" s="168"/>
      <c r="B37" s="143" t="s">
        <v>71</v>
      </c>
      <c r="C37" s="144">
        <v>7</v>
      </c>
      <c r="D37" s="144">
        <v>7</v>
      </c>
      <c r="E37" s="144">
        <v>8</v>
      </c>
      <c r="F37" s="144">
        <v>8</v>
      </c>
      <c r="G37" s="144">
        <v>5</v>
      </c>
      <c r="H37" s="144">
        <v>15</v>
      </c>
      <c r="I37" s="144">
        <v>9</v>
      </c>
      <c r="J37" s="144">
        <v>3</v>
      </c>
      <c r="K37" s="144">
        <v>11</v>
      </c>
      <c r="L37" s="144">
        <v>8</v>
      </c>
      <c r="M37" s="144">
        <v>9</v>
      </c>
      <c r="N37" s="144">
        <v>7</v>
      </c>
      <c r="O37" s="144">
        <v>17</v>
      </c>
      <c r="P37" s="144">
        <f>15+1</f>
        <v>16</v>
      </c>
      <c r="Q37" s="144">
        <v>4</v>
      </c>
      <c r="R37" s="144">
        <v>14</v>
      </c>
      <c r="S37" s="144">
        <v>4</v>
      </c>
      <c r="T37" s="144">
        <v>9</v>
      </c>
      <c r="U37" s="144">
        <v>9</v>
      </c>
      <c r="V37" s="144">
        <v>19</v>
      </c>
      <c r="W37" s="144">
        <v>13</v>
      </c>
      <c r="X37" s="144">
        <v>15</v>
      </c>
      <c r="Y37" s="144">
        <v>12</v>
      </c>
      <c r="Z37" s="144">
        <v>13</v>
      </c>
      <c r="AA37" s="144">
        <v>25</v>
      </c>
      <c r="AB37" s="144">
        <v>6</v>
      </c>
      <c r="AC37" s="144">
        <v>10</v>
      </c>
      <c r="AD37" s="144">
        <v>22</v>
      </c>
      <c r="AE37" s="144">
        <v>8</v>
      </c>
      <c r="AF37" s="144">
        <v>7</v>
      </c>
      <c r="AG37" s="144">
        <v>12</v>
      </c>
      <c r="AH37" s="409">
        <f t="shared" si="10"/>
        <v>332</v>
      </c>
      <c r="AJ37" s="257">
        <f t="shared" si="11"/>
        <v>514</v>
      </c>
      <c r="AK37" s="258" t="s">
        <v>71</v>
      </c>
    </row>
    <row r="38" spans="1:37" ht="15.75" thickBot="1" x14ac:dyDescent="0.3">
      <c r="A38" s="168"/>
      <c r="B38" s="439" t="s">
        <v>183</v>
      </c>
      <c r="C38" s="440">
        <f t="shared" ref="C38:AG38" si="12">SUM(C32:C37)</f>
        <v>412</v>
      </c>
      <c r="D38" s="441">
        <f t="shared" si="12"/>
        <v>399</v>
      </c>
      <c r="E38" s="441">
        <f t="shared" si="12"/>
        <v>448</v>
      </c>
      <c r="F38" s="441">
        <f t="shared" si="12"/>
        <v>423</v>
      </c>
      <c r="G38" s="441">
        <f t="shared" si="12"/>
        <v>461</v>
      </c>
      <c r="H38" s="441">
        <f t="shared" si="12"/>
        <v>427</v>
      </c>
      <c r="I38" s="441">
        <f t="shared" si="12"/>
        <v>431</v>
      </c>
      <c r="J38" s="441">
        <f t="shared" si="12"/>
        <v>310</v>
      </c>
      <c r="K38" s="441">
        <f t="shared" si="12"/>
        <v>323</v>
      </c>
      <c r="L38" s="441">
        <f t="shared" si="12"/>
        <v>314</v>
      </c>
      <c r="M38" s="441">
        <f t="shared" si="12"/>
        <v>318</v>
      </c>
      <c r="N38" s="441">
        <f t="shared" si="12"/>
        <v>459</v>
      </c>
      <c r="O38" s="441">
        <f t="shared" si="12"/>
        <v>311</v>
      </c>
      <c r="P38" s="441">
        <f t="shared" si="12"/>
        <v>236</v>
      </c>
      <c r="Q38" s="441">
        <f t="shared" si="12"/>
        <v>229</v>
      </c>
      <c r="R38" s="441">
        <f t="shared" si="12"/>
        <v>249</v>
      </c>
      <c r="S38" s="441">
        <f t="shared" si="12"/>
        <v>233</v>
      </c>
      <c r="T38" s="441">
        <f t="shared" si="12"/>
        <v>309</v>
      </c>
      <c r="U38" s="441">
        <f t="shared" si="12"/>
        <v>337</v>
      </c>
      <c r="V38" s="441">
        <f t="shared" si="12"/>
        <v>291</v>
      </c>
      <c r="W38" s="441">
        <f t="shared" si="12"/>
        <v>235</v>
      </c>
      <c r="X38" s="441">
        <f t="shared" si="12"/>
        <v>180</v>
      </c>
      <c r="Y38" s="441">
        <f t="shared" si="12"/>
        <v>226</v>
      </c>
      <c r="Z38" s="441">
        <f t="shared" si="12"/>
        <v>212</v>
      </c>
      <c r="AA38" s="441">
        <f t="shared" si="12"/>
        <v>277</v>
      </c>
      <c r="AB38" s="441">
        <f t="shared" si="12"/>
        <v>364</v>
      </c>
      <c r="AC38" s="441">
        <f t="shared" si="12"/>
        <v>280</v>
      </c>
      <c r="AD38" s="441">
        <f t="shared" si="12"/>
        <v>181</v>
      </c>
      <c r="AE38" s="441">
        <f t="shared" si="12"/>
        <v>190</v>
      </c>
      <c r="AF38" s="441">
        <f t="shared" si="12"/>
        <v>158</v>
      </c>
      <c r="AG38" s="442">
        <f t="shared" si="12"/>
        <v>213</v>
      </c>
      <c r="AH38" s="408">
        <f>SUM(C38:AG38)</f>
        <v>9436</v>
      </c>
      <c r="AJ38" s="257"/>
      <c r="AK38" s="258"/>
    </row>
    <row r="39" spans="1:37" x14ac:dyDescent="0.25">
      <c r="A39" s="168"/>
      <c r="B39" s="407" t="s">
        <v>75</v>
      </c>
      <c r="C39" s="140">
        <f>370-C32-3</f>
        <v>144</v>
      </c>
      <c r="D39" s="140">
        <f>423-D32</f>
        <v>205</v>
      </c>
      <c r="E39" s="140">
        <f>418-E32</f>
        <v>176</v>
      </c>
      <c r="F39" s="140">
        <f>435-F32</f>
        <v>174</v>
      </c>
      <c r="G39" s="140">
        <f>554-G32</f>
        <v>247</v>
      </c>
      <c r="H39" s="140">
        <f>456-H32</f>
        <v>210</v>
      </c>
      <c r="I39" s="140">
        <f>425-I32</f>
        <v>158</v>
      </c>
      <c r="J39" s="140">
        <f>334-J32</f>
        <v>143</v>
      </c>
      <c r="K39" s="140">
        <f>366-K32</f>
        <v>164</v>
      </c>
      <c r="L39" s="140">
        <f>256-L32</f>
        <v>65</v>
      </c>
      <c r="M39" s="140">
        <f>311-M32</f>
        <v>136</v>
      </c>
      <c r="N39" s="140">
        <f>541-N32</f>
        <v>225</v>
      </c>
      <c r="O39" s="140">
        <f>347-O32</f>
        <v>154</v>
      </c>
      <c r="P39" s="140">
        <f>256-P32</f>
        <v>109</v>
      </c>
      <c r="Q39" s="140">
        <f>264-Q32</f>
        <v>117</v>
      </c>
      <c r="R39" s="140">
        <f>273-R32</f>
        <v>114</v>
      </c>
      <c r="S39" s="140">
        <f>298-S32</f>
        <v>138</v>
      </c>
      <c r="T39" s="140">
        <f>323-T32</f>
        <v>123</v>
      </c>
      <c r="U39" s="140">
        <f>488-U32</f>
        <v>265</v>
      </c>
      <c r="V39" s="140">
        <f>348-V32</f>
        <v>164</v>
      </c>
      <c r="W39" s="140">
        <f>300-W32</f>
        <v>150</v>
      </c>
      <c r="X39" s="140">
        <f>214-X32</f>
        <v>124</v>
      </c>
      <c r="Y39" s="140">
        <f>244-Y32</f>
        <v>99</v>
      </c>
      <c r="Z39" s="140">
        <f>169-Z32</f>
        <v>55</v>
      </c>
      <c r="AA39" s="140">
        <f>268-AA32</f>
        <v>100</v>
      </c>
      <c r="AB39" s="140">
        <f>358-AB32</f>
        <v>117</v>
      </c>
      <c r="AC39" s="140">
        <f>394-AC32</f>
        <v>186</v>
      </c>
      <c r="AD39" s="140">
        <f>185-AD32</f>
        <v>75</v>
      </c>
      <c r="AE39" s="140">
        <f>202-AE32</f>
        <v>87</v>
      </c>
      <c r="AF39" s="140">
        <f>166-AF32</f>
        <v>75</v>
      </c>
      <c r="AG39" s="141">
        <f>192-AG32</f>
        <v>75</v>
      </c>
      <c r="AH39" s="142">
        <f t="shared" si="10"/>
        <v>4374</v>
      </c>
      <c r="AJ39" s="257"/>
      <c r="AK39" s="258"/>
    </row>
    <row r="40" spans="1:37" x14ac:dyDescent="0.25">
      <c r="A40" s="168"/>
      <c r="B40" s="143" t="s">
        <v>74</v>
      </c>
      <c r="C40" s="144">
        <f>158-C33</f>
        <v>71</v>
      </c>
      <c r="D40" s="144">
        <f>182-D33</f>
        <v>79</v>
      </c>
      <c r="E40" s="144">
        <f>191-E33</f>
        <v>71</v>
      </c>
      <c r="F40" s="144">
        <f>153-F33</f>
        <v>56</v>
      </c>
      <c r="G40" s="144">
        <f>177-G33</f>
        <v>75</v>
      </c>
      <c r="H40" s="144">
        <f>150-H33</f>
        <v>70</v>
      </c>
      <c r="I40" s="144">
        <f>160-I33</f>
        <v>61</v>
      </c>
      <c r="J40" s="144">
        <f>120-J33</f>
        <v>57</v>
      </c>
      <c r="K40" s="144">
        <f>102-K33</f>
        <v>43</v>
      </c>
      <c r="L40" s="144">
        <f>75-L33</f>
        <v>21</v>
      </c>
      <c r="M40" s="144">
        <f>91-M33</f>
        <v>38</v>
      </c>
      <c r="N40" s="144">
        <f>118-N33</f>
        <v>36</v>
      </c>
      <c r="O40" s="144">
        <f>80-O33</f>
        <v>31</v>
      </c>
      <c r="P40" s="144">
        <f>58-P33</f>
        <v>37</v>
      </c>
      <c r="Q40" s="144">
        <f>61-Q33</f>
        <v>34</v>
      </c>
      <c r="R40" s="144">
        <f>32-R33</f>
        <v>13</v>
      </c>
      <c r="S40" s="144">
        <f>55-S33</f>
        <v>33</v>
      </c>
      <c r="T40" s="144">
        <f>47-T33</f>
        <v>15</v>
      </c>
      <c r="U40" s="144">
        <f>82-U33</f>
        <v>39</v>
      </c>
      <c r="V40" s="144">
        <f>56-V33</f>
        <v>22</v>
      </c>
      <c r="W40" s="144">
        <f>22-W33</f>
        <v>10</v>
      </c>
      <c r="X40" s="144">
        <f>22-X33</f>
        <v>11</v>
      </c>
      <c r="Y40" s="144">
        <f>37-Y33</f>
        <v>18</v>
      </c>
      <c r="Z40" s="144">
        <f>20-Z33</f>
        <v>10</v>
      </c>
      <c r="AA40" s="144">
        <f>22-AA33</f>
        <v>7</v>
      </c>
      <c r="AB40" s="144">
        <f>62-AB33</f>
        <v>20</v>
      </c>
      <c r="AC40" s="144">
        <f>44-AC33</f>
        <v>26</v>
      </c>
      <c r="AD40" s="144">
        <f>14-AD33</f>
        <v>11</v>
      </c>
      <c r="AE40" s="144">
        <f>11-AE33</f>
        <v>4</v>
      </c>
      <c r="AF40" s="144">
        <f>16-AF33</f>
        <v>8</v>
      </c>
      <c r="AG40" s="145">
        <f>30-AG33</f>
        <v>6</v>
      </c>
      <c r="AH40" s="142">
        <f t="shared" si="10"/>
        <v>1033</v>
      </c>
      <c r="AJ40" s="257"/>
      <c r="AK40" s="258"/>
    </row>
    <row r="41" spans="1:37" x14ac:dyDescent="0.25">
      <c r="A41" s="168"/>
      <c r="B41" s="143" t="s">
        <v>199</v>
      </c>
      <c r="C41" s="144">
        <f>13-C34</f>
        <v>7</v>
      </c>
      <c r="D41" s="144">
        <v>0</v>
      </c>
      <c r="E41" s="144">
        <f>5-E34</f>
        <v>2</v>
      </c>
      <c r="F41" s="144">
        <v>6</v>
      </c>
      <c r="G41" s="144">
        <f>14-G34</f>
        <v>5</v>
      </c>
      <c r="H41" s="144">
        <f>33-H34</f>
        <v>13</v>
      </c>
      <c r="I41" s="144">
        <f>16-I34</f>
        <v>3</v>
      </c>
      <c r="J41" s="144">
        <f>5-J34</f>
        <v>4</v>
      </c>
      <c r="K41" s="144">
        <f>'[1]TEMP Summary'!$T$22</f>
        <v>0</v>
      </c>
      <c r="L41" s="144">
        <v>0</v>
      </c>
      <c r="M41" s="144">
        <f>'[1]TEMP Summary'!$T$22</f>
        <v>0</v>
      </c>
      <c r="N41" s="144">
        <f>13-N34</f>
        <v>8</v>
      </c>
      <c r="O41" s="144">
        <f>14-O34</f>
        <v>1</v>
      </c>
      <c r="P41" s="144">
        <f>10-P34</f>
        <v>3</v>
      </c>
      <c r="Q41" s="144">
        <v>6</v>
      </c>
      <c r="R41" s="144">
        <v>5</v>
      </c>
      <c r="S41" s="144">
        <f>8-S34</f>
        <v>6</v>
      </c>
      <c r="T41" s="144">
        <v>3</v>
      </c>
      <c r="U41" s="144">
        <v>13</v>
      </c>
      <c r="V41" s="144">
        <f>7-V34</f>
        <v>3</v>
      </c>
      <c r="W41" s="144">
        <f>10-W34</f>
        <v>5</v>
      </c>
      <c r="X41" s="144">
        <f>4-X34</f>
        <v>2</v>
      </c>
      <c r="Y41" s="144">
        <v>1</v>
      </c>
      <c r="Z41" s="144">
        <f>6-Z34</f>
        <v>2</v>
      </c>
      <c r="AA41" s="144">
        <v>2</v>
      </c>
      <c r="AB41" s="144">
        <f>6-AB34</f>
        <v>5</v>
      </c>
      <c r="AC41" s="144">
        <v>2</v>
      </c>
      <c r="AD41" s="144">
        <f>'[1]TEMP Summary'!$T$22</f>
        <v>0</v>
      </c>
      <c r="AE41" s="144">
        <f>3-AE34</f>
        <v>2</v>
      </c>
      <c r="AF41" s="144">
        <f>'[1]TEMP Summary'!$T$22</f>
        <v>0</v>
      </c>
      <c r="AG41" s="145">
        <f>3-AG34</f>
        <v>2</v>
      </c>
      <c r="AH41" s="142">
        <f t="shared" si="10"/>
        <v>111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f>'[1]TEMP Summary'!$T$22</f>
        <v>0</v>
      </c>
      <c r="F42" s="144">
        <f>'[1]TEMP Summary'!$T$22</f>
        <v>0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v>0</v>
      </c>
      <c r="L42" s="144">
        <f>'[1]TEMP Summary'!$T$22</f>
        <v>0</v>
      </c>
      <c r="M42" s="144">
        <f>'[1]TEMP Summary'!$T$22</f>
        <v>0</v>
      </c>
      <c r="N42" s="144">
        <v>16</v>
      </c>
      <c r="O42" s="144">
        <v>25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41</v>
      </c>
      <c r="AJ42" s="257"/>
      <c r="AK42" s="258"/>
    </row>
    <row r="43" spans="1:37" x14ac:dyDescent="0.25">
      <c r="A43" s="168"/>
      <c r="B43" s="143" t="s">
        <v>73</v>
      </c>
      <c r="C43" s="144">
        <f>74-C36</f>
        <v>25</v>
      </c>
      <c r="D43" s="144">
        <f>102-D36</f>
        <v>33</v>
      </c>
      <c r="E43" s="144">
        <f>107-E36</f>
        <v>32</v>
      </c>
      <c r="F43" s="144">
        <f>90-F36</f>
        <v>33</v>
      </c>
      <c r="G43" s="144">
        <f>71-G36</f>
        <v>33</v>
      </c>
      <c r="H43" s="144">
        <f>100-H36</f>
        <v>34</v>
      </c>
      <c r="I43" s="144">
        <f>89-I36</f>
        <v>46</v>
      </c>
      <c r="J43" s="144">
        <f>94-J36</f>
        <v>42</v>
      </c>
      <c r="K43" s="144">
        <f>80-K36</f>
        <v>29</v>
      </c>
      <c r="L43" s="144">
        <f>80-L36</f>
        <v>22</v>
      </c>
      <c r="M43" s="144">
        <f>95-M36</f>
        <v>40</v>
      </c>
      <c r="N43" s="144">
        <f>93-N36</f>
        <v>44</v>
      </c>
      <c r="O43" s="144">
        <f>85-O36</f>
        <v>46</v>
      </c>
      <c r="P43" s="144">
        <f>78-P36</f>
        <v>33</v>
      </c>
      <c r="Q43" s="144">
        <f>81-Q36</f>
        <v>30</v>
      </c>
      <c r="R43" s="144">
        <f>95-R36</f>
        <v>38</v>
      </c>
      <c r="S43" s="144">
        <f>66-S36</f>
        <v>21</v>
      </c>
      <c r="T43" s="144">
        <f>106-T36</f>
        <v>38</v>
      </c>
      <c r="U43" s="144">
        <f>113-U36</f>
        <v>51</v>
      </c>
      <c r="V43" s="144">
        <f>87-V36</f>
        <v>37</v>
      </c>
      <c r="W43" s="144">
        <f>95-W36</f>
        <v>40</v>
      </c>
      <c r="X43" s="144">
        <f>99-X36</f>
        <v>37</v>
      </c>
      <c r="Y43" s="144">
        <f>76-Y36</f>
        <v>26</v>
      </c>
      <c r="Z43" s="144">
        <f>85-Z36</f>
        <v>14</v>
      </c>
      <c r="AA43" s="144">
        <f>77-AA36</f>
        <v>18</v>
      </c>
      <c r="AB43" s="144">
        <f>91-AB36</f>
        <v>17</v>
      </c>
      <c r="AC43" s="144">
        <f>98-AC36</f>
        <v>54</v>
      </c>
      <c r="AD43" s="144">
        <f>74-AD36</f>
        <v>31</v>
      </c>
      <c r="AE43" s="144">
        <f>85-AE36</f>
        <v>26</v>
      </c>
      <c r="AF43" s="144">
        <f>85-AF36</f>
        <v>33</v>
      </c>
      <c r="AG43" s="145">
        <f>90-AG36</f>
        <v>31</v>
      </c>
      <c r="AH43" s="142">
        <f t="shared" si="10"/>
        <v>1034</v>
      </c>
      <c r="AJ43" s="257"/>
      <c r="AK43" s="258"/>
    </row>
    <row r="44" spans="1:37" x14ac:dyDescent="0.25">
      <c r="A44" s="168"/>
      <c r="B44" s="143" t="s">
        <v>71</v>
      </c>
      <c r="C44" s="144">
        <f>13-C37</f>
        <v>6</v>
      </c>
      <c r="D44" s="144">
        <v>0</v>
      </c>
      <c r="E44" s="144">
        <f>16-E37</f>
        <v>8</v>
      </c>
      <c r="F44" s="144">
        <v>0</v>
      </c>
      <c r="G44" s="144">
        <f>12-G37</f>
        <v>7</v>
      </c>
      <c r="H44" s="144">
        <f>26-H37</f>
        <v>11</v>
      </c>
      <c r="I44" s="144">
        <f>22-I37</f>
        <v>13</v>
      </c>
      <c r="J44" s="144">
        <f>8-J37</f>
        <v>5</v>
      </c>
      <c r="K44" s="144">
        <f>16-K37</f>
        <v>5</v>
      </c>
      <c r="L44" s="144">
        <f>11-L37</f>
        <v>3</v>
      </c>
      <c r="M44" s="144">
        <f>11-M37</f>
        <v>2</v>
      </c>
      <c r="N44" s="144">
        <f>10-N37</f>
        <v>3</v>
      </c>
      <c r="O44" s="144">
        <f>25-O37</f>
        <v>8</v>
      </c>
      <c r="P44" s="144">
        <f>27-P37+1</f>
        <v>12</v>
      </c>
      <c r="Q44" s="144">
        <f>11-Q37</f>
        <v>7</v>
      </c>
      <c r="R44" s="144">
        <f>21-R37</f>
        <v>7</v>
      </c>
      <c r="S44" s="144">
        <f>9-S37</f>
        <v>5</v>
      </c>
      <c r="T44" s="144">
        <f>12-T37</f>
        <v>3</v>
      </c>
      <c r="U44" s="144">
        <f>22-U37</f>
        <v>13</v>
      </c>
      <c r="V44" s="144">
        <f>22-V37</f>
        <v>3</v>
      </c>
      <c r="W44" s="144">
        <f>24-W37</f>
        <v>11</v>
      </c>
      <c r="X44" s="144">
        <f>24-X37</f>
        <v>9</v>
      </c>
      <c r="Y44" s="144">
        <f>15-Y37</f>
        <v>3</v>
      </c>
      <c r="Z44" s="144">
        <f>15-Z37</f>
        <v>2</v>
      </c>
      <c r="AA44" s="144">
        <f>27-AA37</f>
        <v>2</v>
      </c>
      <c r="AB44" s="144">
        <f>9-AB37</f>
        <v>3</v>
      </c>
      <c r="AC44" s="144">
        <f>23-AC37</f>
        <v>13</v>
      </c>
      <c r="AD44" s="144">
        <f>29-AD37</f>
        <v>7</v>
      </c>
      <c r="AE44" s="144">
        <f>14-AE37</f>
        <v>6</v>
      </c>
      <c r="AF44" s="144">
        <f>'[1]TEMP Summary'!$T$22</f>
        <v>0</v>
      </c>
      <c r="AG44" s="145">
        <f>17-AG37</f>
        <v>5</v>
      </c>
      <c r="AH44" s="142">
        <f t="shared" si="10"/>
        <v>182</v>
      </c>
      <c r="AJ44" s="257"/>
      <c r="AK44" s="259"/>
    </row>
    <row r="45" spans="1:37" x14ac:dyDescent="0.25">
      <c r="A45" s="168"/>
      <c r="B45" s="443" t="s">
        <v>182</v>
      </c>
      <c r="C45" s="440">
        <f t="shared" ref="C45:AG45" si="13">SUM(C39:C44)</f>
        <v>253</v>
      </c>
      <c r="D45" s="440">
        <f t="shared" si="13"/>
        <v>317</v>
      </c>
      <c r="E45" s="440">
        <f t="shared" si="13"/>
        <v>289</v>
      </c>
      <c r="F45" s="440">
        <f t="shared" si="13"/>
        <v>269</v>
      </c>
      <c r="G45" s="440">
        <f t="shared" si="13"/>
        <v>367</v>
      </c>
      <c r="H45" s="440">
        <f t="shared" si="13"/>
        <v>338</v>
      </c>
      <c r="I45" s="440">
        <f t="shared" si="13"/>
        <v>281</v>
      </c>
      <c r="J45" s="440">
        <f t="shared" si="13"/>
        <v>251</v>
      </c>
      <c r="K45" s="440">
        <f t="shared" si="13"/>
        <v>241</v>
      </c>
      <c r="L45" s="440">
        <f t="shared" si="13"/>
        <v>111</v>
      </c>
      <c r="M45" s="440">
        <f t="shared" si="13"/>
        <v>216</v>
      </c>
      <c r="N45" s="440">
        <f t="shared" si="13"/>
        <v>332</v>
      </c>
      <c r="O45" s="440">
        <f t="shared" si="13"/>
        <v>265</v>
      </c>
      <c r="P45" s="440">
        <f t="shared" si="13"/>
        <v>194</v>
      </c>
      <c r="Q45" s="440">
        <f t="shared" si="13"/>
        <v>194</v>
      </c>
      <c r="R45" s="440">
        <f t="shared" si="13"/>
        <v>177</v>
      </c>
      <c r="S45" s="440">
        <f t="shared" si="13"/>
        <v>203</v>
      </c>
      <c r="T45" s="440">
        <f t="shared" si="13"/>
        <v>182</v>
      </c>
      <c r="U45" s="440">
        <f t="shared" si="13"/>
        <v>381</v>
      </c>
      <c r="V45" s="440">
        <f t="shared" si="13"/>
        <v>229</v>
      </c>
      <c r="W45" s="440">
        <f t="shared" si="13"/>
        <v>216</v>
      </c>
      <c r="X45" s="440">
        <f t="shared" si="13"/>
        <v>183</v>
      </c>
      <c r="Y45" s="440">
        <f t="shared" si="13"/>
        <v>147</v>
      </c>
      <c r="Z45" s="440">
        <f t="shared" si="13"/>
        <v>83</v>
      </c>
      <c r="AA45" s="440">
        <f t="shared" si="13"/>
        <v>129</v>
      </c>
      <c r="AB45" s="440">
        <f t="shared" si="13"/>
        <v>162</v>
      </c>
      <c r="AC45" s="440">
        <f t="shared" si="13"/>
        <v>281</v>
      </c>
      <c r="AD45" s="440">
        <f t="shared" si="13"/>
        <v>124</v>
      </c>
      <c r="AE45" s="440">
        <f t="shared" si="13"/>
        <v>125</v>
      </c>
      <c r="AF45" s="440">
        <f t="shared" si="13"/>
        <v>116</v>
      </c>
      <c r="AG45" s="442">
        <f t="shared" si="13"/>
        <v>119</v>
      </c>
      <c r="AH45" s="406">
        <f>SUM(C45:AG45)</f>
        <v>6775</v>
      </c>
      <c r="AJ45" s="405"/>
      <c r="AK45" s="404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665</v>
      </c>
      <c r="D46" s="147">
        <f t="shared" si="14"/>
        <v>716</v>
      </c>
      <c r="E46" s="147">
        <f t="shared" si="14"/>
        <v>737</v>
      </c>
      <c r="F46" s="147">
        <f t="shared" si="14"/>
        <v>692</v>
      </c>
      <c r="G46" s="147">
        <f t="shared" si="14"/>
        <v>828</v>
      </c>
      <c r="H46" s="147">
        <f t="shared" si="14"/>
        <v>765</v>
      </c>
      <c r="I46" s="147">
        <f t="shared" si="14"/>
        <v>712</v>
      </c>
      <c r="J46" s="147">
        <f t="shared" si="14"/>
        <v>561</v>
      </c>
      <c r="K46" s="147">
        <f t="shared" si="14"/>
        <v>564</v>
      </c>
      <c r="L46" s="147">
        <f t="shared" si="14"/>
        <v>425</v>
      </c>
      <c r="M46" s="147">
        <f t="shared" si="14"/>
        <v>534</v>
      </c>
      <c r="N46" s="147">
        <f t="shared" si="14"/>
        <v>791</v>
      </c>
      <c r="O46" s="147">
        <f t="shared" si="14"/>
        <v>576</v>
      </c>
      <c r="P46" s="147">
        <f t="shared" si="14"/>
        <v>430</v>
      </c>
      <c r="Q46" s="147">
        <f t="shared" si="14"/>
        <v>423</v>
      </c>
      <c r="R46" s="147">
        <f t="shared" si="14"/>
        <v>426</v>
      </c>
      <c r="S46" s="147">
        <f t="shared" si="14"/>
        <v>436</v>
      </c>
      <c r="T46" s="147">
        <f t="shared" si="14"/>
        <v>491</v>
      </c>
      <c r="U46" s="147">
        <f t="shared" si="14"/>
        <v>718</v>
      </c>
      <c r="V46" s="147">
        <f t="shared" si="14"/>
        <v>520</v>
      </c>
      <c r="W46" s="147">
        <f t="shared" si="14"/>
        <v>451</v>
      </c>
      <c r="X46" s="147">
        <f t="shared" si="14"/>
        <v>363</v>
      </c>
      <c r="Y46" s="147">
        <f t="shared" si="14"/>
        <v>373</v>
      </c>
      <c r="Z46" s="147">
        <f t="shared" si="14"/>
        <v>295</v>
      </c>
      <c r="AA46" s="147">
        <f t="shared" si="14"/>
        <v>406</v>
      </c>
      <c r="AB46" s="147">
        <f t="shared" si="14"/>
        <v>526</v>
      </c>
      <c r="AC46" s="147">
        <f t="shared" si="14"/>
        <v>561</v>
      </c>
      <c r="AD46" s="147">
        <f t="shared" si="14"/>
        <v>305</v>
      </c>
      <c r="AE46" s="147">
        <f t="shared" si="14"/>
        <v>315</v>
      </c>
      <c r="AF46" s="147">
        <f t="shared" si="14"/>
        <v>274</v>
      </c>
      <c r="AG46" s="262">
        <f t="shared" si="14"/>
        <v>332</v>
      </c>
      <c r="AH46" s="148">
        <f>SUM(AH32:AH37,AH39:AH44)</f>
        <v>16211</v>
      </c>
      <c r="AJ46" s="260">
        <f>AH46</f>
        <v>16211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1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E27" sqref="AE27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3" width="10" style="60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209</v>
      </c>
      <c r="B1" s="378" t="str">
        <f>'Cash Flow'!C1</f>
        <v>August</v>
      </c>
      <c r="C1" s="228" t="str">
        <f t="array" ref="C1:AG1">TRANSPOSE('Cash Flow'!B8:B38)</f>
        <v>Tue</v>
      </c>
      <c r="D1" s="228" t="str">
        <v>Wed</v>
      </c>
      <c r="E1" s="228" t="str">
        <v>Thu</v>
      </c>
      <c r="F1" s="228" t="str">
        <v>Fri</v>
      </c>
      <c r="G1" s="228" t="str">
        <v>Sat</v>
      </c>
      <c r="H1" s="228" t="str">
        <v>Sun</v>
      </c>
      <c r="I1" s="228" t="str">
        <v>Mon</v>
      </c>
      <c r="J1" s="228" t="str">
        <v>Tue</v>
      </c>
      <c r="K1" s="228" t="str">
        <v>Wed</v>
      </c>
      <c r="L1" s="228" t="str">
        <v>Thu</v>
      </c>
      <c r="M1" s="228" t="str">
        <v>Fri</v>
      </c>
      <c r="N1" s="228" t="str">
        <v>Sat</v>
      </c>
      <c r="O1" s="228" t="str">
        <v>Sun</v>
      </c>
      <c r="P1" s="228" t="str">
        <v>Mon</v>
      </c>
      <c r="Q1" s="228" t="str">
        <v>Tue</v>
      </c>
      <c r="R1" s="228" t="str">
        <v>Wed</v>
      </c>
      <c r="S1" s="228" t="str">
        <v>Thu</v>
      </c>
      <c r="T1" s="228" t="str">
        <v>Fri</v>
      </c>
      <c r="U1" s="228" t="str">
        <v>Sat</v>
      </c>
      <c r="V1" s="228" t="str">
        <v>Sun</v>
      </c>
      <c r="W1" s="228" t="str">
        <v>Mon</v>
      </c>
      <c r="X1" s="228" t="str">
        <v>Tue</v>
      </c>
      <c r="Y1" s="228" t="str">
        <v>Wed</v>
      </c>
      <c r="Z1" s="228" t="str">
        <v>Thu</v>
      </c>
      <c r="AA1" s="228" t="str">
        <v>Fri</v>
      </c>
      <c r="AB1" s="228" t="str">
        <v>Sat</v>
      </c>
      <c r="AC1" s="228" t="str">
        <v>Sun</v>
      </c>
      <c r="AD1" s="228" t="str">
        <v>Mon</v>
      </c>
      <c r="AE1" s="228" t="str">
        <v>Tue</v>
      </c>
      <c r="AF1" s="228" t="str">
        <v>Wed</v>
      </c>
      <c r="AG1" s="228" t="str">
        <v>Thu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45139</v>
      </c>
      <c r="D2" s="106">
        <f>C2+1</f>
        <v>45140</v>
      </c>
      <c r="E2" s="106">
        <f>D2+1</f>
        <v>45141</v>
      </c>
      <c r="F2" s="106">
        <f t="shared" ref="F2:AG2" si="0">E2+1</f>
        <v>45142</v>
      </c>
      <c r="G2" s="106">
        <f t="shared" si="0"/>
        <v>45143</v>
      </c>
      <c r="H2" s="106">
        <f t="shared" si="0"/>
        <v>45144</v>
      </c>
      <c r="I2" s="106">
        <f t="shared" si="0"/>
        <v>45145</v>
      </c>
      <c r="J2" s="106">
        <f t="shared" si="0"/>
        <v>45146</v>
      </c>
      <c r="K2" s="106">
        <f t="shared" si="0"/>
        <v>45147</v>
      </c>
      <c r="L2" s="106">
        <f t="shared" si="0"/>
        <v>45148</v>
      </c>
      <c r="M2" s="106">
        <f t="shared" si="0"/>
        <v>45149</v>
      </c>
      <c r="N2" s="106">
        <f t="shared" si="0"/>
        <v>45150</v>
      </c>
      <c r="O2" s="106">
        <f t="shared" si="0"/>
        <v>45151</v>
      </c>
      <c r="P2" s="106">
        <f t="shared" si="0"/>
        <v>45152</v>
      </c>
      <c r="Q2" s="106">
        <f t="shared" si="0"/>
        <v>45153</v>
      </c>
      <c r="R2" s="106">
        <f t="shared" si="0"/>
        <v>45154</v>
      </c>
      <c r="S2" s="106">
        <f t="shared" si="0"/>
        <v>45155</v>
      </c>
      <c r="T2" s="106">
        <f t="shared" si="0"/>
        <v>45156</v>
      </c>
      <c r="U2" s="106">
        <f t="shared" si="0"/>
        <v>45157</v>
      </c>
      <c r="V2" s="106">
        <f t="shared" si="0"/>
        <v>45158</v>
      </c>
      <c r="W2" s="106">
        <f t="shared" si="0"/>
        <v>45159</v>
      </c>
      <c r="X2" s="106">
        <f t="shared" si="0"/>
        <v>45160</v>
      </c>
      <c r="Y2" s="106">
        <f t="shared" si="0"/>
        <v>45161</v>
      </c>
      <c r="Z2" s="106">
        <f t="shared" si="0"/>
        <v>45162</v>
      </c>
      <c r="AA2" s="106">
        <f t="shared" si="0"/>
        <v>45163</v>
      </c>
      <c r="AB2" s="106">
        <f t="shared" si="0"/>
        <v>45164</v>
      </c>
      <c r="AC2" s="106">
        <f t="shared" si="0"/>
        <v>45165</v>
      </c>
      <c r="AD2" s="106">
        <f t="shared" si="0"/>
        <v>45166</v>
      </c>
      <c r="AE2" s="106">
        <f t="shared" si="0"/>
        <v>45167</v>
      </c>
      <c r="AF2" s="106">
        <f t="shared" si="0"/>
        <v>45168</v>
      </c>
      <c r="AG2" s="106">
        <f t="shared" si="0"/>
        <v>45169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8.08</v>
      </c>
      <c r="D3" s="185">
        <v>21.45</v>
      </c>
      <c r="E3" s="185">
        <v>6.15</v>
      </c>
      <c r="F3" s="185">
        <v>8.56</v>
      </c>
      <c r="G3" s="185">
        <v>10.85</v>
      </c>
      <c r="H3" s="185">
        <v>1.8</v>
      </c>
      <c r="I3" s="185">
        <v>20.46</v>
      </c>
      <c r="J3" s="185">
        <v>10.43</v>
      </c>
      <c r="K3" s="185">
        <v>12.32</v>
      </c>
      <c r="L3" s="185">
        <v>7.03</v>
      </c>
      <c r="M3" s="185">
        <v>9.17</v>
      </c>
      <c r="N3" s="185">
        <v>3.83</v>
      </c>
      <c r="O3" s="185">
        <v>5.64</v>
      </c>
      <c r="P3" s="185">
        <v>11.04</v>
      </c>
      <c r="Q3" s="185">
        <v>2.84</v>
      </c>
      <c r="R3" s="185">
        <v>11.15</v>
      </c>
      <c r="S3" s="185">
        <v>2.2200000000000002</v>
      </c>
      <c r="T3" s="185">
        <v>5.2</v>
      </c>
      <c r="U3" s="185">
        <v>4.16</v>
      </c>
      <c r="V3" s="185">
        <v>0.19</v>
      </c>
      <c r="W3" s="185">
        <v>11.06</v>
      </c>
      <c r="X3" s="185">
        <v>5.19</v>
      </c>
      <c r="Y3" s="185">
        <v>21.99</v>
      </c>
      <c r="Z3" s="185">
        <v>2.74</v>
      </c>
      <c r="AA3" s="185">
        <v>8.6999999999999993</v>
      </c>
      <c r="AB3" s="185">
        <v>11.25</v>
      </c>
      <c r="AC3" s="185">
        <v>7.23</v>
      </c>
      <c r="AD3" s="185">
        <v>5.14</v>
      </c>
      <c r="AE3" s="185">
        <v>0.66</v>
      </c>
      <c r="AF3" s="185">
        <v>12.4</v>
      </c>
      <c r="AG3" s="185">
        <v>3.12</v>
      </c>
      <c r="AH3" s="108">
        <f>SUM(C3:AG3)</f>
        <v>252.04999999999998</v>
      </c>
      <c r="AJ3" s="66" t="s">
        <v>61</v>
      </c>
      <c r="AK3" s="67" t="s">
        <v>62</v>
      </c>
      <c r="AL3" s="210"/>
      <c r="AM3" s="210"/>
    </row>
    <row r="4" spans="1:40" x14ac:dyDescent="0.25">
      <c r="A4" s="69" t="s">
        <v>210</v>
      </c>
      <c r="B4" s="70" t="s">
        <v>211</v>
      </c>
      <c r="C4" s="71">
        <v>85.44</v>
      </c>
      <c r="D4" s="72">
        <v>226.99</v>
      </c>
      <c r="E4" s="71">
        <v>65</v>
      </c>
      <c r="F4" s="71">
        <v>90.5</v>
      </c>
      <c r="G4" s="71">
        <v>114.89</v>
      </c>
      <c r="H4" s="71">
        <v>19</v>
      </c>
      <c r="I4" s="71">
        <f>241.58-25.25</f>
        <v>216.33</v>
      </c>
      <c r="J4" s="71">
        <f>135.67-25.25</f>
        <v>110.41999999999999</v>
      </c>
      <c r="K4" s="71">
        <f>155.71-25.25</f>
        <v>130.46</v>
      </c>
      <c r="L4" s="71">
        <v>74.349999999999994</v>
      </c>
      <c r="M4" s="71">
        <v>96.98</v>
      </c>
      <c r="N4" s="71">
        <v>40.5</v>
      </c>
      <c r="O4" s="71">
        <v>62</v>
      </c>
      <c r="P4" s="71">
        <v>116.8</v>
      </c>
      <c r="Q4" s="71">
        <v>30</v>
      </c>
      <c r="R4" s="71">
        <v>117.92</v>
      </c>
      <c r="S4" s="71">
        <v>23.5</v>
      </c>
      <c r="T4" s="71">
        <v>55</v>
      </c>
      <c r="U4" s="71">
        <v>43.94</v>
      </c>
      <c r="V4" s="71">
        <v>2</v>
      </c>
      <c r="W4" s="71">
        <v>116.97</v>
      </c>
      <c r="X4" s="71">
        <v>54.95</v>
      </c>
      <c r="Y4" s="71">
        <v>232.87</v>
      </c>
      <c r="Z4" s="71">
        <v>28.99</v>
      </c>
      <c r="AA4" s="71">
        <v>91.99</v>
      </c>
      <c r="AB4" s="71">
        <v>118.96</v>
      </c>
      <c r="AC4" s="71">
        <v>76.48</v>
      </c>
      <c r="AD4" s="71">
        <v>54.47</v>
      </c>
      <c r="AE4" s="71">
        <v>6.99</v>
      </c>
      <c r="AF4" s="71">
        <v>132</v>
      </c>
      <c r="AG4" s="71">
        <v>33</v>
      </c>
      <c r="AH4" s="108">
        <f t="shared" ref="AH4:AH6" si="1">SUM(C4:AG4)</f>
        <v>2669.6899999999991</v>
      </c>
      <c r="AJ4" s="69" t="s">
        <v>210</v>
      </c>
      <c r="AK4" s="70" t="s">
        <v>211</v>
      </c>
      <c r="AL4" s="210"/>
      <c r="AM4" s="210"/>
    </row>
    <row r="5" spans="1:40" x14ac:dyDescent="0.25">
      <c r="A5" s="66" t="s">
        <v>210</v>
      </c>
      <c r="B5" s="67" t="s">
        <v>235</v>
      </c>
      <c r="C5" s="68"/>
      <c r="D5" s="185"/>
      <c r="E5" s="68"/>
      <c r="F5" s="68"/>
      <c r="G5" s="68"/>
      <c r="H5" s="68"/>
      <c r="I5" s="68"/>
      <c r="J5" s="68"/>
      <c r="K5" s="68"/>
      <c r="L5" s="68"/>
      <c r="M5" s="68">
        <v>41</v>
      </c>
      <c r="N5" s="68">
        <v>25</v>
      </c>
      <c r="O5" s="68">
        <v>65</v>
      </c>
      <c r="P5" s="68">
        <v>70</v>
      </c>
      <c r="Q5" s="68">
        <v>20</v>
      </c>
      <c r="R5" s="68"/>
      <c r="S5" s="68"/>
      <c r="T5" s="68">
        <v>50</v>
      </c>
      <c r="U5" s="68">
        <v>24.95</v>
      </c>
      <c r="V5" s="68">
        <v>25</v>
      </c>
      <c r="W5" s="68">
        <v>40</v>
      </c>
      <c r="X5" s="68">
        <v>51</v>
      </c>
      <c r="Y5" s="68">
        <v>25</v>
      </c>
      <c r="Z5" s="68"/>
      <c r="AA5" s="68">
        <v>44.95</v>
      </c>
      <c r="AB5" s="68">
        <v>60</v>
      </c>
      <c r="AC5" s="68"/>
      <c r="AD5" s="68"/>
      <c r="AE5" s="68">
        <v>25.95</v>
      </c>
      <c r="AF5" s="68">
        <v>20</v>
      </c>
      <c r="AG5" s="68">
        <v>61</v>
      </c>
      <c r="AH5" s="108">
        <f t="shared" si="1"/>
        <v>648.85</v>
      </c>
      <c r="AJ5" s="69" t="s">
        <v>210</v>
      </c>
      <c r="AK5" s="67" t="s">
        <v>235</v>
      </c>
      <c r="AL5" s="210"/>
      <c r="AM5" s="210"/>
    </row>
    <row r="6" spans="1:40" ht="16.5" thickBot="1" x14ac:dyDescent="0.3">
      <c r="A6" s="66" t="s">
        <v>210</v>
      </c>
      <c r="B6" s="67" t="s">
        <v>234</v>
      </c>
      <c r="C6" s="68"/>
      <c r="D6" s="185">
        <v>25.25</v>
      </c>
      <c r="E6" s="68"/>
      <c r="F6" s="68"/>
      <c r="G6" s="68"/>
      <c r="H6" s="68"/>
      <c r="I6" s="68">
        <v>25.25</v>
      </c>
      <c r="J6" s="68">
        <v>25.25</v>
      </c>
      <c r="K6" s="68">
        <v>25.25</v>
      </c>
      <c r="L6" s="68"/>
      <c r="M6" s="68"/>
      <c r="N6" s="68">
        <v>25.25</v>
      </c>
      <c r="O6" s="68"/>
      <c r="P6" s="68"/>
      <c r="Q6" s="68"/>
      <c r="R6" s="68">
        <v>25.25</v>
      </c>
      <c r="S6" s="68">
        <v>25.25</v>
      </c>
      <c r="T6" s="68">
        <v>75.75</v>
      </c>
      <c r="U6" s="68"/>
      <c r="V6" s="68"/>
      <c r="W6" s="68"/>
      <c r="X6" s="68"/>
      <c r="Y6" s="68"/>
      <c r="Z6" s="68"/>
      <c r="AA6" s="68"/>
      <c r="AB6" s="68"/>
      <c r="AC6" s="68"/>
      <c r="AD6" s="68">
        <v>75.75</v>
      </c>
      <c r="AE6" s="68">
        <v>25.25</v>
      </c>
      <c r="AF6" s="68">
        <v>25.25</v>
      </c>
      <c r="AG6" s="68"/>
      <c r="AH6" s="108">
        <f t="shared" si="1"/>
        <v>378.75</v>
      </c>
      <c r="AJ6" s="66" t="s">
        <v>210</v>
      </c>
      <c r="AK6" s="67" t="s">
        <v>234</v>
      </c>
      <c r="AL6" s="210"/>
      <c r="AM6" s="210"/>
    </row>
    <row r="7" spans="1:40" s="60" customFormat="1" ht="13.5" thickBot="1" x14ac:dyDescent="0.25">
      <c r="A7" s="199"/>
      <c r="B7" s="84" t="s">
        <v>64</v>
      </c>
      <c r="C7" s="107">
        <f t="shared" ref="C7:AG7" si="2">SUM(C3:C6)</f>
        <v>93.52</v>
      </c>
      <c r="D7" s="107">
        <f t="shared" si="2"/>
        <v>273.69</v>
      </c>
      <c r="E7" s="107">
        <f t="shared" si="2"/>
        <v>71.150000000000006</v>
      </c>
      <c r="F7" s="107">
        <f t="shared" si="2"/>
        <v>99.06</v>
      </c>
      <c r="G7" s="107">
        <f t="shared" si="2"/>
        <v>125.74</v>
      </c>
      <c r="H7" s="107">
        <f t="shared" si="2"/>
        <v>20.8</v>
      </c>
      <c r="I7" s="107">
        <f t="shared" si="2"/>
        <v>262.04000000000002</v>
      </c>
      <c r="J7" s="107">
        <f t="shared" si="2"/>
        <v>146.1</v>
      </c>
      <c r="K7" s="107">
        <f t="shared" si="2"/>
        <v>168.03</v>
      </c>
      <c r="L7" s="107">
        <f t="shared" si="2"/>
        <v>81.38</v>
      </c>
      <c r="M7" s="107">
        <f t="shared" si="2"/>
        <v>147.15</v>
      </c>
      <c r="N7" s="107">
        <f t="shared" si="2"/>
        <v>94.58</v>
      </c>
      <c r="O7" s="107">
        <f t="shared" si="2"/>
        <v>132.63999999999999</v>
      </c>
      <c r="P7" s="107">
        <f t="shared" si="2"/>
        <v>197.84</v>
      </c>
      <c r="Q7" s="107">
        <f t="shared" si="2"/>
        <v>52.84</v>
      </c>
      <c r="R7" s="107">
        <f t="shared" si="2"/>
        <v>154.32</v>
      </c>
      <c r="S7" s="107">
        <f t="shared" si="2"/>
        <v>50.97</v>
      </c>
      <c r="T7" s="107">
        <f t="shared" si="2"/>
        <v>185.95</v>
      </c>
      <c r="U7" s="107">
        <f t="shared" si="2"/>
        <v>73.05</v>
      </c>
      <c r="V7" s="107">
        <f t="shared" si="2"/>
        <v>27.19</v>
      </c>
      <c r="W7" s="107">
        <f t="shared" si="2"/>
        <v>168.03</v>
      </c>
      <c r="X7" s="107">
        <f t="shared" si="2"/>
        <v>111.14</v>
      </c>
      <c r="Y7" s="107">
        <f t="shared" si="2"/>
        <v>279.86</v>
      </c>
      <c r="Z7" s="107">
        <f t="shared" si="2"/>
        <v>31.729999999999997</v>
      </c>
      <c r="AA7" s="107">
        <f t="shared" si="2"/>
        <v>145.63999999999999</v>
      </c>
      <c r="AB7" s="107">
        <f t="shared" si="2"/>
        <v>190.20999999999998</v>
      </c>
      <c r="AC7" s="107">
        <f t="shared" si="2"/>
        <v>83.710000000000008</v>
      </c>
      <c r="AD7" s="107">
        <f t="shared" si="2"/>
        <v>135.36000000000001</v>
      </c>
      <c r="AE7" s="107">
        <f t="shared" si="2"/>
        <v>58.85</v>
      </c>
      <c r="AF7" s="107">
        <f t="shared" si="2"/>
        <v>189.65</v>
      </c>
      <c r="AG7" s="107">
        <f t="shared" si="2"/>
        <v>97.12</v>
      </c>
      <c r="AH7" s="109">
        <f>SUM(C3:AG6)</f>
        <v>3949.3399999999983</v>
      </c>
      <c r="AI7" s="85"/>
      <c r="AJ7" s="275"/>
      <c r="AK7" s="276" t="s">
        <v>64</v>
      </c>
    </row>
    <row r="8" spans="1:40" ht="16.5" thickBot="1" x14ac:dyDescent="0.3">
      <c r="A8" s="195"/>
      <c r="B8" s="196"/>
      <c r="C8" s="197"/>
      <c r="D8" s="196"/>
      <c r="E8" s="196"/>
      <c r="F8" s="196"/>
      <c r="G8" s="196"/>
      <c r="H8" s="278"/>
      <c r="I8" s="196"/>
      <c r="J8" s="196"/>
      <c r="K8" s="196"/>
      <c r="L8" s="196"/>
      <c r="M8" s="196"/>
      <c r="N8" s="196"/>
      <c r="O8" s="196"/>
      <c r="P8" s="196"/>
      <c r="Q8" s="196"/>
      <c r="R8" s="263"/>
      <c r="S8" s="196"/>
      <c r="T8" s="196"/>
      <c r="U8" s="196"/>
      <c r="V8" s="196"/>
      <c r="W8" s="196"/>
      <c r="X8" s="196"/>
      <c r="Y8" s="197"/>
      <c r="Z8" s="196"/>
      <c r="AA8" s="196"/>
      <c r="AB8" s="196"/>
      <c r="AC8" s="196"/>
      <c r="AD8" s="196"/>
      <c r="AE8" s="196"/>
      <c r="AF8" s="196"/>
      <c r="AG8" s="196"/>
      <c r="AH8" s="198"/>
      <c r="AJ8" s="282" t="s">
        <v>66</v>
      </c>
      <c r="AK8" s="283" t="s">
        <v>128</v>
      </c>
      <c r="AL8" s="283" t="s">
        <v>120</v>
      </c>
      <c r="AM8" s="284" t="s">
        <v>121</v>
      </c>
    </row>
    <row r="9" spans="1:40" x14ac:dyDescent="0.25">
      <c r="A9" s="89" t="s">
        <v>60</v>
      </c>
      <c r="B9" s="84" t="s">
        <v>54</v>
      </c>
      <c r="C9" s="391">
        <v>47</v>
      </c>
      <c r="D9" s="391">
        <v>73.92</v>
      </c>
      <c r="E9" s="391">
        <v>9.85</v>
      </c>
      <c r="F9" s="391">
        <v>1.64</v>
      </c>
      <c r="G9" s="391">
        <v>54.7</v>
      </c>
      <c r="H9" s="391">
        <v>20.8</v>
      </c>
      <c r="I9" s="391">
        <v>50.36</v>
      </c>
      <c r="J9" s="391">
        <v>55.35</v>
      </c>
      <c r="K9" s="391">
        <v>13.68</v>
      </c>
      <c r="L9" s="391">
        <v>14.23</v>
      </c>
      <c r="M9" s="391">
        <v>31.63</v>
      </c>
      <c r="N9" s="391">
        <v>12.04</v>
      </c>
      <c r="O9" s="391">
        <v>61.63</v>
      </c>
      <c r="P9" s="391">
        <v>22.19</v>
      </c>
      <c r="Q9" s="391">
        <v>28.46</v>
      </c>
      <c r="R9" s="391">
        <v>4.38</v>
      </c>
      <c r="S9" s="391">
        <v>26.89</v>
      </c>
      <c r="T9" s="391">
        <v>28.28</v>
      </c>
      <c r="U9" s="391">
        <v>18.059999999999999</v>
      </c>
      <c r="V9" s="391">
        <v>2.19</v>
      </c>
      <c r="W9" s="391">
        <v>77.72</v>
      </c>
      <c r="X9" s="391">
        <v>48.36</v>
      </c>
      <c r="Y9" s="391">
        <v>41.53</v>
      </c>
      <c r="Z9" s="391"/>
      <c r="AA9" s="391">
        <v>45.98</v>
      </c>
      <c r="AB9" s="391">
        <v>64.930000000000007</v>
      </c>
      <c r="AC9" s="391">
        <v>2.19</v>
      </c>
      <c r="AD9" s="391"/>
      <c r="AE9" s="392">
        <v>8.65</v>
      </c>
      <c r="AF9" s="392">
        <v>46.82</v>
      </c>
      <c r="AG9" s="392">
        <v>1</v>
      </c>
      <c r="AH9" s="110">
        <f>SUM(C9:AG9)</f>
        <v>914.46000000000026</v>
      </c>
      <c r="AJ9" s="137" t="s">
        <v>60</v>
      </c>
      <c r="AK9" s="138" t="s">
        <v>212</v>
      </c>
      <c r="AL9" s="386">
        <f>SUM(C9:AD9)</f>
        <v>857.99000000000024</v>
      </c>
      <c r="AM9" s="387">
        <f>SUM(AE9:AG9)</f>
        <v>56.47</v>
      </c>
    </row>
    <row r="10" spans="1:40" ht="16.5" thickBot="1" x14ac:dyDescent="0.3">
      <c r="A10" s="90" t="s">
        <v>60</v>
      </c>
      <c r="B10" s="91" t="s">
        <v>55</v>
      </c>
      <c r="C10" s="482">
        <v>46.52</v>
      </c>
      <c r="D10" s="482">
        <v>199.77</v>
      </c>
      <c r="E10" s="482">
        <v>61.3</v>
      </c>
      <c r="F10" s="482">
        <v>97.42</v>
      </c>
      <c r="G10" s="482">
        <v>71.040000000000006</v>
      </c>
      <c r="H10" s="389">
        <v>0</v>
      </c>
      <c r="I10" s="482">
        <f>211.68+211.68</f>
        <v>423.36</v>
      </c>
      <c r="J10" s="482">
        <v>90.75</v>
      </c>
      <c r="K10" s="482">
        <v>154.35</v>
      </c>
      <c r="L10" s="482">
        <v>67.150000000000006</v>
      </c>
      <c r="M10" s="482">
        <v>115.52</v>
      </c>
      <c r="N10" s="482">
        <v>82.54</v>
      </c>
      <c r="O10" s="482">
        <v>71.010000000000005</v>
      </c>
      <c r="P10" s="482">
        <v>175.65</v>
      </c>
      <c r="Q10" s="482">
        <v>24.38</v>
      </c>
      <c r="R10" s="482">
        <v>149.94</v>
      </c>
      <c r="S10" s="482">
        <v>24.08</v>
      </c>
      <c r="T10" s="482">
        <v>157.66999999999999</v>
      </c>
      <c r="U10" s="482">
        <v>54.99</v>
      </c>
      <c r="V10" s="482">
        <v>25</v>
      </c>
      <c r="W10" s="482">
        <v>90.31</v>
      </c>
      <c r="X10" s="482">
        <v>62.78</v>
      </c>
      <c r="Y10" s="482">
        <v>238.33</v>
      </c>
      <c r="Z10" s="482">
        <v>31.73</v>
      </c>
      <c r="AA10" s="482">
        <v>99.66</v>
      </c>
      <c r="AB10" s="482">
        <v>125.28</v>
      </c>
      <c r="AC10" s="488">
        <v>81.52</v>
      </c>
      <c r="AD10" s="488">
        <v>135.36000000000001</v>
      </c>
      <c r="AE10" s="488">
        <v>50.2</v>
      </c>
      <c r="AF10" s="488">
        <v>142.83000000000001</v>
      </c>
      <c r="AG10" s="488">
        <v>96.12</v>
      </c>
      <c r="AH10" s="111">
        <f t="shared" ref="AH10" si="3">SUM(C10:AG10)</f>
        <v>3246.56</v>
      </c>
      <c r="AJ10" s="129" t="s">
        <v>60</v>
      </c>
      <c r="AK10" s="130" t="s">
        <v>213</v>
      </c>
      <c r="AL10" s="290">
        <f>SUM(C10:AB10)-AL15</f>
        <v>2654.9700000000003</v>
      </c>
      <c r="AM10" s="291">
        <f>SUM(AC10:AG10)-AM15</f>
        <v>490.26</v>
      </c>
    </row>
    <row r="11" spans="1:40" ht="16.5" thickBot="1" x14ac:dyDescent="0.3">
      <c r="A11" s="202"/>
      <c r="B11" s="193" t="s">
        <v>65</v>
      </c>
      <c r="C11" s="107">
        <f t="shared" ref="C11:AG11" si="4">SUM(C9:C10)</f>
        <v>93.52000000000001</v>
      </c>
      <c r="D11" s="107">
        <f t="shared" si="4"/>
        <v>273.69</v>
      </c>
      <c r="E11" s="107">
        <f t="shared" si="4"/>
        <v>71.149999999999991</v>
      </c>
      <c r="F11" s="107">
        <f t="shared" si="4"/>
        <v>99.06</v>
      </c>
      <c r="G11" s="107">
        <f t="shared" si="4"/>
        <v>125.74000000000001</v>
      </c>
      <c r="H11" s="107">
        <f t="shared" si="4"/>
        <v>20.8</v>
      </c>
      <c r="I11" s="107">
        <f t="shared" si="4"/>
        <v>473.72</v>
      </c>
      <c r="J11" s="107">
        <f t="shared" si="4"/>
        <v>146.1</v>
      </c>
      <c r="K11" s="107">
        <f t="shared" si="4"/>
        <v>168.03</v>
      </c>
      <c r="L11" s="107">
        <f t="shared" si="4"/>
        <v>81.38000000000001</v>
      </c>
      <c r="M11" s="107">
        <f t="shared" si="4"/>
        <v>147.15</v>
      </c>
      <c r="N11" s="107">
        <f t="shared" si="4"/>
        <v>94.580000000000013</v>
      </c>
      <c r="O11" s="107">
        <f t="shared" si="4"/>
        <v>132.64000000000001</v>
      </c>
      <c r="P11" s="107">
        <f t="shared" si="4"/>
        <v>197.84</v>
      </c>
      <c r="Q11" s="107">
        <f t="shared" si="4"/>
        <v>52.84</v>
      </c>
      <c r="R11" s="107">
        <f t="shared" si="4"/>
        <v>154.32</v>
      </c>
      <c r="S11" s="107">
        <f t="shared" si="4"/>
        <v>50.97</v>
      </c>
      <c r="T11" s="107">
        <f t="shared" si="4"/>
        <v>185.95</v>
      </c>
      <c r="U11" s="107">
        <f t="shared" si="4"/>
        <v>73.05</v>
      </c>
      <c r="V11" s="107">
        <f t="shared" si="4"/>
        <v>27.19</v>
      </c>
      <c r="W11" s="107">
        <f t="shared" si="4"/>
        <v>168.03</v>
      </c>
      <c r="X11" s="107">
        <f t="shared" si="4"/>
        <v>111.14</v>
      </c>
      <c r="Y11" s="107">
        <f t="shared" si="4"/>
        <v>279.86</v>
      </c>
      <c r="Z11" s="107">
        <f t="shared" si="4"/>
        <v>31.73</v>
      </c>
      <c r="AA11" s="107">
        <f t="shared" si="4"/>
        <v>145.63999999999999</v>
      </c>
      <c r="AB11" s="107">
        <f t="shared" si="4"/>
        <v>190.21</v>
      </c>
      <c r="AC11" s="107">
        <f t="shared" si="4"/>
        <v>83.71</v>
      </c>
      <c r="AD11" s="107">
        <f t="shared" si="4"/>
        <v>135.36000000000001</v>
      </c>
      <c r="AE11" s="107">
        <f t="shared" si="4"/>
        <v>58.85</v>
      </c>
      <c r="AF11" s="107">
        <f t="shared" si="4"/>
        <v>189.65</v>
      </c>
      <c r="AG11" s="107">
        <f t="shared" si="4"/>
        <v>97.12</v>
      </c>
      <c r="AH11" s="110">
        <f>SUM(C11:AG11)</f>
        <v>4161.0200000000004</v>
      </c>
      <c r="AI11" s="59"/>
      <c r="AJ11" s="503" t="s">
        <v>76</v>
      </c>
      <c r="AK11" s="504"/>
      <c r="AL11" s="505">
        <f>SUM(AL9:AM10)</f>
        <v>4059.6900000000005</v>
      </c>
      <c r="AM11" s="506"/>
      <c r="AN11" s="273">
        <f>AL11-(AH11+AL13-AL15-AM15)</f>
        <v>211.67999999999984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8"/>
      <c r="AK12" s="268"/>
      <c r="AL12" s="99"/>
      <c r="AM12" s="190"/>
      <c r="AN12" s="192"/>
    </row>
    <row r="13" spans="1:40" s="99" customFormat="1" ht="16.5" thickBot="1" x14ac:dyDescent="0.3">
      <c r="A13" s="275" t="s">
        <v>214</v>
      </c>
      <c r="B13" s="101" t="s">
        <v>33</v>
      </c>
      <c r="C13" s="114">
        <f t="shared" ref="C13:AG13" si="5">SUM(C3:C6)-SUM(C9:C10)</f>
        <v>0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 t="shared" si="5"/>
        <v>-211.68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0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0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-211.68</v>
      </c>
      <c r="AI13" s="62"/>
      <c r="AJ13" s="464" t="s">
        <v>214</v>
      </c>
      <c r="AK13" s="212" t="s">
        <v>215</v>
      </c>
      <c r="AL13" s="271">
        <f>AH13</f>
        <v>-211.68</v>
      </c>
      <c r="AM13" s="272"/>
      <c r="AN13" s="274" t="s">
        <v>126</v>
      </c>
    </row>
    <row r="14" spans="1:40" s="102" customFormat="1" ht="16.5" thickBot="1" x14ac:dyDescent="0.3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465"/>
      <c r="AK14" s="225"/>
      <c r="AL14" s="99"/>
      <c r="AM14" s="476">
        <f>AL11+AL13+AM13+AL15+AM15</f>
        <v>3949.3400000000006</v>
      </c>
      <c r="AN14" s="475">
        <f>AM14-AH7</f>
        <v>0</v>
      </c>
    </row>
    <row r="15" spans="1:40" s="99" customFormat="1" ht="16.5" thickBot="1" x14ac:dyDescent="0.3">
      <c r="A15" s="464" t="s">
        <v>216</v>
      </c>
      <c r="B15" s="101" t="s">
        <v>195</v>
      </c>
      <c r="C15" s="487">
        <v>1.46</v>
      </c>
      <c r="D15" s="487">
        <v>6.24</v>
      </c>
      <c r="E15" s="487">
        <v>1.91</v>
      </c>
      <c r="F15" s="487">
        <v>3.03</v>
      </c>
      <c r="G15" s="487">
        <v>2.2200000000000002</v>
      </c>
      <c r="H15" s="466">
        <v>0</v>
      </c>
      <c r="I15" s="487">
        <f>6.61+6.61</f>
        <v>13.22</v>
      </c>
      <c r="J15" s="487">
        <v>2.83</v>
      </c>
      <c r="K15" s="487">
        <v>4.82</v>
      </c>
      <c r="L15" s="487">
        <v>2.1</v>
      </c>
      <c r="M15" s="487">
        <v>3.59</v>
      </c>
      <c r="N15" s="487">
        <v>2.58</v>
      </c>
      <c r="O15" s="487">
        <v>2.2200000000000002</v>
      </c>
      <c r="P15" s="487">
        <v>5.48</v>
      </c>
      <c r="Q15" s="487">
        <v>0.76</v>
      </c>
      <c r="R15" s="487">
        <v>4.68</v>
      </c>
      <c r="S15" s="487">
        <v>0.75</v>
      </c>
      <c r="T15" s="487">
        <v>4.9400000000000004</v>
      </c>
      <c r="U15" s="487">
        <v>1.72</v>
      </c>
      <c r="V15" s="487">
        <v>0.78</v>
      </c>
      <c r="W15" s="487">
        <v>2.82</v>
      </c>
      <c r="X15" s="487">
        <v>1.96</v>
      </c>
      <c r="Y15" s="487">
        <v>7.44</v>
      </c>
      <c r="Z15" s="487">
        <v>0.99</v>
      </c>
      <c r="AA15" s="487">
        <v>3.11</v>
      </c>
      <c r="AB15" s="487">
        <v>3.91</v>
      </c>
      <c r="AC15" s="495">
        <v>2.5299999999999998</v>
      </c>
      <c r="AD15" s="495">
        <v>4.2300000000000004</v>
      </c>
      <c r="AE15" s="495">
        <v>1.57</v>
      </c>
      <c r="AF15" s="495">
        <v>4.45</v>
      </c>
      <c r="AG15" s="496">
        <v>2.99</v>
      </c>
      <c r="AH15" s="467">
        <f t="shared" ref="AH15" si="6">SUM(C15:AG15)</f>
        <v>101.32999999999997</v>
      </c>
      <c r="AI15" s="62"/>
      <c r="AJ15" s="464" t="s">
        <v>216</v>
      </c>
      <c r="AK15" s="212" t="s">
        <v>197</v>
      </c>
      <c r="AL15" s="271">
        <f>SUM(C15:AB15)</f>
        <v>85.559999999999974</v>
      </c>
      <c r="AM15" s="272">
        <f>SUM(AC15:AG15)</f>
        <v>15.770000000000001</v>
      </c>
      <c r="AN15" s="274"/>
    </row>
    <row r="16" spans="1:40" s="102" customFormat="1" x14ac:dyDescent="0.25">
      <c r="A16" s="224"/>
      <c r="B16" s="225" t="s">
        <v>232</v>
      </c>
      <c r="C16" s="480">
        <f>C10-C15</f>
        <v>45.06</v>
      </c>
      <c r="D16" s="480">
        <f t="shared" ref="D16:AG16" si="7">D10-D15</f>
        <v>193.53</v>
      </c>
      <c r="E16" s="480">
        <f t="shared" si="7"/>
        <v>59.39</v>
      </c>
      <c r="F16" s="480">
        <f t="shared" si="7"/>
        <v>94.39</v>
      </c>
      <c r="G16" s="480">
        <f t="shared" si="7"/>
        <v>68.820000000000007</v>
      </c>
      <c r="H16" s="480">
        <f t="shared" si="7"/>
        <v>0</v>
      </c>
      <c r="I16" s="480">
        <f t="shared" si="7"/>
        <v>410.14</v>
      </c>
      <c r="J16" s="480">
        <f t="shared" si="7"/>
        <v>87.92</v>
      </c>
      <c r="K16" s="480">
        <f t="shared" si="7"/>
        <v>149.53</v>
      </c>
      <c r="L16" s="480">
        <f t="shared" si="7"/>
        <v>65.050000000000011</v>
      </c>
      <c r="M16" s="480">
        <f t="shared" si="7"/>
        <v>111.92999999999999</v>
      </c>
      <c r="N16" s="480">
        <f t="shared" si="7"/>
        <v>79.960000000000008</v>
      </c>
      <c r="O16" s="480">
        <f t="shared" si="7"/>
        <v>68.790000000000006</v>
      </c>
      <c r="P16" s="480">
        <f t="shared" si="7"/>
        <v>170.17000000000002</v>
      </c>
      <c r="Q16" s="480">
        <f t="shared" si="7"/>
        <v>23.619999999999997</v>
      </c>
      <c r="R16" s="480">
        <f t="shared" si="7"/>
        <v>145.26</v>
      </c>
      <c r="S16" s="480">
        <f t="shared" si="7"/>
        <v>23.33</v>
      </c>
      <c r="T16" s="480">
        <f t="shared" si="7"/>
        <v>152.72999999999999</v>
      </c>
      <c r="U16" s="480">
        <f t="shared" si="7"/>
        <v>53.27</v>
      </c>
      <c r="V16" s="480">
        <f t="shared" si="7"/>
        <v>24.22</v>
      </c>
      <c r="W16" s="480">
        <f t="shared" si="7"/>
        <v>87.490000000000009</v>
      </c>
      <c r="X16" s="480">
        <f t="shared" si="7"/>
        <v>60.82</v>
      </c>
      <c r="Y16" s="480">
        <f t="shared" si="7"/>
        <v>230.89000000000001</v>
      </c>
      <c r="Z16" s="480">
        <f t="shared" si="7"/>
        <v>30.740000000000002</v>
      </c>
      <c r="AA16" s="480">
        <f t="shared" si="7"/>
        <v>96.55</v>
      </c>
      <c r="AB16" s="480">
        <f t="shared" si="7"/>
        <v>121.37</v>
      </c>
      <c r="AC16" s="480">
        <f t="shared" si="7"/>
        <v>78.989999999999995</v>
      </c>
      <c r="AD16" s="480">
        <f t="shared" si="7"/>
        <v>131.13000000000002</v>
      </c>
      <c r="AE16" s="480">
        <f t="shared" si="7"/>
        <v>48.63</v>
      </c>
      <c r="AF16" s="480">
        <f t="shared" si="7"/>
        <v>138.38000000000002</v>
      </c>
      <c r="AG16" s="480">
        <f t="shared" si="7"/>
        <v>93.13000000000001</v>
      </c>
      <c r="AH16" s="226"/>
      <c r="AI16" s="62"/>
      <c r="AJ16" s="224"/>
      <c r="AK16" s="225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7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F48" sqref="F48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114</v>
      </c>
      <c r="B1" s="179" t="str">
        <f>CONCATENATE('Cash Flow'!C1, "  ",'Cash Flow'!D1)</f>
        <v>August  2023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6" t="s">
        <v>181</v>
      </c>
      <c r="B3" s="527"/>
      <c r="C3" s="528"/>
    </row>
    <row r="4" spans="1:6" s="181" customFormat="1" ht="24" customHeight="1" x14ac:dyDescent="0.25">
      <c r="A4" s="89" t="s">
        <v>30</v>
      </c>
      <c r="B4" s="84" t="s">
        <v>226</v>
      </c>
      <c r="C4" s="186">
        <f>Pool!AH4</f>
        <v>315779.04000000004</v>
      </c>
      <c r="D4" s="520"/>
      <c r="E4" s="521"/>
      <c r="F4" s="521"/>
    </row>
    <row r="5" spans="1:6" ht="14.1" customHeight="1" x14ac:dyDescent="0.25">
      <c r="A5" s="90" t="s">
        <v>173</v>
      </c>
      <c r="B5" s="91" t="s">
        <v>63</v>
      </c>
      <c r="C5" s="187">
        <f>Pool!AH9</f>
        <v>12716</v>
      </c>
      <c r="D5" s="524"/>
      <c r="E5" s="525"/>
      <c r="F5" s="525"/>
    </row>
    <row r="6" spans="1:6" ht="14.1" customHeight="1" x14ac:dyDescent="0.25">
      <c r="A6" s="90" t="s">
        <v>152</v>
      </c>
      <c r="B6" s="91" t="s">
        <v>231</v>
      </c>
      <c r="C6" s="187">
        <f>Pool!AH6+Pool!AH7</f>
        <v>47261.5</v>
      </c>
      <c r="D6" s="522"/>
      <c r="E6" s="523"/>
      <c r="F6" s="523"/>
    </row>
    <row r="7" spans="1:6" ht="14.1" customHeight="1" x14ac:dyDescent="0.25">
      <c r="A7" s="90" t="s">
        <v>157</v>
      </c>
      <c r="B7" s="91" t="s">
        <v>158</v>
      </c>
      <c r="C7" s="187">
        <f>Pool!AH8</f>
        <v>1400</v>
      </c>
      <c r="D7" s="524"/>
      <c r="E7" s="525"/>
      <c r="F7" s="525"/>
    </row>
    <row r="8" spans="1:6" ht="14.1" customHeight="1" x14ac:dyDescent="0.25">
      <c r="A8" s="90" t="s">
        <v>159</v>
      </c>
      <c r="B8" s="91" t="s">
        <v>168</v>
      </c>
      <c r="C8" s="187">
        <f>Pool!AH10</f>
        <v>0</v>
      </c>
      <c r="D8" s="524"/>
      <c r="E8" s="525"/>
      <c r="F8" s="525"/>
    </row>
    <row r="9" spans="1:6" ht="14.1" customHeight="1" x14ac:dyDescent="0.25">
      <c r="A9" s="90" t="s">
        <v>34</v>
      </c>
      <c r="B9" s="91" t="s">
        <v>35</v>
      </c>
      <c r="C9" s="187">
        <f>Pool!AH14</f>
        <v>3060</v>
      </c>
      <c r="D9" s="524"/>
      <c r="E9" s="525"/>
      <c r="F9" s="525"/>
    </row>
    <row r="10" spans="1:6" ht="14.1" customHeight="1" x14ac:dyDescent="0.25">
      <c r="A10" s="90" t="s">
        <v>36</v>
      </c>
      <c r="B10" s="91" t="s">
        <v>37</v>
      </c>
      <c r="C10" s="187">
        <f>Pool!AH15+Pool!AH17</f>
        <v>17378.52</v>
      </c>
      <c r="D10" s="524"/>
      <c r="E10" s="525"/>
      <c r="F10" s="525"/>
    </row>
    <row r="11" spans="1:6" ht="14.1" customHeight="1" x14ac:dyDescent="0.25">
      <c r="A11" s="90" t="s">
        <v>194</v>
      </c>
      <c r="B11" s="91" t="s">
        <v>111</v>
      </c>
      <c r="C11" s="187">
        <f>Pool!AH16</f>
        <v>0</v>
      </c>
      <c r="D11" s="524"/>
      <c r="E11" s="525"/>
      <c r="F11" s="525"/>
    </row>
    <row r="12" spans="1:6" ht="14.1" customHeight="1" x14ac:dyDescent="0.25">
      <c r="A12" s="90" t="s">
        <v>77</v>
      </c>
      <c r="B12" s="91" t="s">
        <v>193</v>
      </c>
      <c r="C12" s="187">
        <f>Pool!AH18</f>
        <v>6709.5</v>
      </c>
      <c r="D12" s="524"/>
      <c r="E12" s="525"/>
      <c r="F12" s="525"/>
    </row>
    <row r="13" spans="1:6" ht="14.1" hidden="1" customHeight="1" x14ac:dyDescent="0.25">
      <c r="A13" s="90" t="s">
        <v>38</v>
      </c>
      <c r="B13" s="91" t="s">
        <v>39</v>
      </c>
      <c r="C13" s="187">
        <f>Pool!AH19</f>
        <v>0</v>
      </c>
      <c r="D13" s="524"/>
      <c r="E13" s="525"/>
      <c r="F13" s="525"/>
    </row>
    <row r="14" spans="1:6" ht="14.1" customHeight="1" x14ac:dyDescent="0.25">
      <c r="A14" s="90" t="s">
        <v>40</v>
      </c>
      <c r="B14" s="91" t="s">
        <v>228</v>
      </c>
      <c r="C14" s="187">
        <f>Pool!AH20</f>
        <v>450</v>
      </c>
      <c r="D14" s="524"/>
      <c r="E14" s="525"/>
      <c r="F14" s="525"/>
    </row>
    <row r="15" spans="1:6" ht="14.1" customHeight="1" thickBot="1" x14ac:dyDescent="0.3">
      <c r="A15" s="81" t="s">
        <v>161</v>
      </c>
      <c r="B15" s="94" t="s">
        <v>162</v>
      </c>
      <c r="C15" s="188">
        <f>Pool!AH21</f>
        <v>35</v>
      </c>
      <c r="D15" s="524"/>
      <c r="E15" s="525"/>
      <c r="F15" s="525"/>
    </row>
    <row r="16" spans="1:6" ht="14.1" hidden="1" customHeight="1" x14ac:dyDescent="0.25">
      <c r="A16" s="468" t="s">
        <v>42</v>
      </c>
      <c r="B16" s="469" t="s">
        <v>43</v>
      </c>
      <c r="C16" s="470">
        <f>Pool!AH22</f>
        <v>0</v>
      </c>
      <c r="D16" s="524"/>
      <c r="E16" s="525"/>
      <c r="F16" s="525"/>
    </row>
    <row r="17" spans="1:7" ht="14.1" hidden="1" customHeight="1" x14ac:dyDescent="0.25">
      <c r="A17" s="90" t="s">
        <v>44</v>
      </c>
      <c r="B17" s="91" t="s">
        <v>45</v>
      </c>
      <c r="C17" s="187">
        <f>Pool!AH23</f>
        <v>0</v>
      </c>
      <c r="D17" s="524"/>
      <c r="E17" s="525"/>
      <c r="F17" s="525"/>
    </row>
    <row r="18" spans="1:7" ht="14.1" hidden="1" customHeight="1" x14ac:dyDescent="0.25">
      <c r="A18" s="90" t="s">
        <v>46</v>
      </c>
      <c r="B18" s="91" t="s">
        <v>47</v>
      </c>
      <c r="C18" s="187">
        <f>Pool!AH24</f>
        <v>0</v>
      </c>
      <c r="D18" s="524"/>
      <c r="E18" s="525"/>
      <c r="F18" s="525"/>
    </row>
    <row r="19" spans="1:7" ht="14.1" hidden="1" customHeight="1" x14ac:dyDescent="0.25">
      <c r="A19" s="90" t="s">
        <v>48</v>
      </c>
      <c r="B19" s="91" t="s">
        <v>49</v>
      </c>
      <c r="C19" s="187">
        <f>Pool!AH25</f>
        <v>0</v>
      </c>
      <c r="D19" s="524"/>
      <c r="E19" s="525"/>
      <c r="F19" s="525"/>
    </row>
    <row r="20" spans="1:7" ht="14.1" hidden="1" customHeight="1" x14ac:dyDescent="0.25">
      <c r="A20" s="90" t="s">
        <v>50</v>
      </c>
      <c r="B20" s="91" t="s">
        <v>51</v>
      </c>
      <c r="C20" s="187">
        <f>Pool!AH26</f>
        <v>0</v>
      </c>
      <c r="D20" s="524"/>
      <c r="E20" s="525"/>
      <c r="F20" s="525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Pool!AH27</f>
        <v>0</v>
      </c>
      <c r="D21" s="524"/>
      <c r="E21" s="525"/>
      <c r="F21" s="525"/>
    </row>
    <row r="22" spans="1:7" ht="14.1" customHeight="1" x14ac:dyDescent="0.25">
      <c r="A22" s="189"/>
      <c r="B22" s="207" t="s">
        <v>64</v>
      </c>
      <c r="C22" s="471">
        <f>C4+C5+C6+C7+C8+C9+C10+C11+C12+C15+C14</f>
        <v>404789.56000000006</v>
      </c>
      <c r="D22" s="525" t="s">
        <v>171</v>
      </c>
      <c r="E22" s="525"/>
      <c r="F22" s="525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6" t="s">
        <v>174</v>
      </c>
      <c r="B24" s="527"/>
      <c r="C24" s="528"/>
    </row>
    <row r="25" spans="1:7" ht="14.1" customHeight="1" x14ac:dyDescent="0.25">
      <c r="A25" s="126" t="s">
        <v>61</v>
      </c>
      <c r="B25" s="393" t="s">
        <v>62</v>
      </c>
      <c r="C25" s="394">
        <f>Pool!AH3</f>
        <v>1699.13</v>
      </c>
      <c r="D25" s="524"/>
      <c r="E25" s="525"/>
      <c r="F25" s="525"/>
    </row>
    <row r="26" spans="1:7" ht="14.1" hidden="1" customHeight="1" x14ac:dyDescent="0.25">
      <c r="A26" s="129" t="s">
        <v>153</v>
      </c>
      <c r="B26" s="395" t="s">
        <v>154</v>
      </c>
      <c r="C26" s="397">
        <f>Pool!AH11</f>
        <v>0</v>
      </c>
      <c r="D26" s="524" t="s">
        <v>179</v>
      </c>
      <c r="E26" s="525"/>
      <c r="F26" s="525"/>
    </row>
    <row r="27" spans="1:7" ht="14.1" hidden="1" customHeight="1" x14ac:dyDescent="0.25">
      <c r="A27" s="129" t="s">
        <v>164</v>
      </c>
      <c r="B27" s="395" t="s">
        <v>165</v>
      </c>
      <c r="C27" s="397">
        <f>Pool!AH12</f>
        <v>0</v>
      </c>
      <c r="D27" s="524" t="s">
        <v>169</v>
      </c>
      <c r="E27" s="525"/>
      <c r="F27" s="525"/>
    </row>
    <row r="28" spans="1:7" ht="14.1" hidden="1" customHeight="1" x14ac:dyDescent="0.25">
      <c r="A28" s="129" t="s">
        <v>166</v>
      </c>
      <c r="B28" s="395" t="s">
        <v>167</v>
      </c>
      <c r="C28" s="397">
        <f>Pool!AH13</f>
        <v>0</v>
      </c>
      <c r="D28" s="524" t="s">
        <v>170</v>
      </c>
      <c r="E28" s="525"/>
      <c r="F28" s="525"/>
    </row>
    <row r="29" spans="1:7" ht="14.1" customHeight="1" thickBot="1" x14ac:dyDescent="0.3">
      <c r="A29" s="135" t="s">
        <v>109</v>
      </c>
      <c r="B29" s="396" t="s">
        <v>175</v>
      </c>
      <c r="C29" s="398">
        <f>Pool!AH28</f>
        <v>104</v>
      </c>
      <c r="D29" s="524" t="s">
        <v>175</v>
      </c>
      <c r="E29" s="525"/>
      <c r="F29" s="525"/>
    </row>
    <row r="30" spans="1:7" ht="14.1" customHeight="1" x14ac:dyDescent="0.25">
      <c r="A30" s="116"/>
      <c r="B30" s="399" t="s">
        <v>176</v>
      </c>
      <c r="C30" s="400">
        <f>SUM(C25:C29)</f>
        <v>1803.13</v>
      </c>
      <c r="F30" s="210"/>
    </row>
    <row r="31" spans="1:7" ht="5.0999999999999996" customHeight="1" x14ac:dyDescent="0.25">
      <c r="A31" s="116"/>
      <c r="B31" s="401"/>
      <c r="C31" s="400"/>
      <c r="F31" s="210"/>
    </row>
    <row r="32" spans="1:7" ht="14.1" customHeight="1" x14ac:dyDescent="0.25">
      <c r="A32" s="116"/>
      <c r="B32" s="402" t="s">
        <v>177</v>
      </c>
      <c r="C32" s="403">
        <f>C30+C22</f>
        <v>406592.69000000006</v>
      </c>
      <c r="D32" s="525" t="s">
        <v>178</v>
      </c>
      <c r="E32" s="525"/>
      <c r="F32" s="525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6" t="s">
        <v>180</v>
      </c>
      <c r="B34" s="527"/>
      <c r="C34" s="528"/>
    </row>
    <row r="35" spans="1:6" ht="14.1" customHeight="1" x14ac:dyDescent="0.25">
      <c r="A35" s="126" t="s">
        <v>60</v>
      </c>
      <c r="B35" s="127" t="s">
        <v>86</v>
      </c>
      <c r="C35" s="157">
        <f>Pool!AL33</f>
        <v>57072.73</v>
      </c>
    </row>
    <row r="36" spans="1:6" ht="14.1" customHeight="1" x14ac:dyDescent="0.25">
      <c r="A36" s="129" t="s">
        <v>60</v>
      </c>
      <c r="B36" s="130" t="s">
        <v>88</v>
      </c>
      <c r="C36" s="158">
        <f>Pool!AM33</f>
        <v>2899.1</v>
      </c>
    </row>
    <row r="37" spans="1:6" ht="14.1" customHeight="1" x14ac:dyDescent="0.25">
      <c r="A37" s="129" t="s">
        <v>60</v>
      </c>
      <c r="B37" s="130" t="s">
        <v>87</v>
      </c>
      <c r="C37" s="158">
        <f>Pool!AL34</f>
        <v>314864.9200000001</v>
      </c>
    </row>
    <row r="38" spans="1:6" ht="14.1" customHeight="1" x14ac:dyDescent="0.25">
      <c r="A38" s="129" t="s">
        <v>60</v>
      </c>
      <c r="B38" s="130" t="s">
        <v>89</v>
      </c>
      <c r="C38" s="158">
        <f>Pool!AM34</f>
        <v>34386.409999999996</v>
      </c>
      <c r="D38" s="266"/>
      <c r="E38" s="210"/>
    </row>
    <row r="39" spans="1:6" ht="14.1" customHeight="1" x14ac:dyDescent="0.25">
      <c r="A39" s="129" t="s">
        <v>60</v>
      </c>
      <c r="B39" s="130" t="s">
        <v>112</v>
      </c>
      <c r="C39" s="158">
        <f>Pool!AL35</f>
        <v>0</v>
      </c>
      <c r="D39" s="267"/>
      <c r="E39" s="210"/>
    </row>
    <row r="40" spans="1:6" ht="14.1" customHeight="1" x14ac:dyDescent="0.25">
      <c r="A40" s="129" t="s">
        <v>60</v>
      </c>
      <c r="B40" s="130" t="s">
        <v>113</v>
      </c>
      <c r="C40" s="158">
        <f>Pool!AM35</f>
        <v>0</v>
      </c>
      <c r="E40" s="210"/>
    </row>
    <row r="41" spans="1:6" ht="14.1" customHeight="1" x14ac:dyDescent="0.25">
      <c r="A41" s="129" t="s">
        <v>196</v>
      </c>
      <c r="B41" s="130" t="s">
        <v>197</v>
      </c>
      <c r="C41" s="158">
        <f>Pool!AL45+Pool!AM45</f>
        <v>11328.640000000001</v>
      </c>
      <c r="E41" s="210"/>
    </row>
    <row r="42" spans="1:6" ht="14.1" customHeight="1" x14ac:dyDescent="0.25">
      <c r="A42" s="129" t="s">
        <v>32</v>
      </c>
      <c r="B42" s="130" t="s">
        <v>90</v>
      </c>
      <c r="C42" s="158">
        <f>Pool!AL43</f>
        <v>-14265.109999999999</v>
      </c>
      <c r="D42" s="529"/>
      <c r="E42" s="530"/>
      <c r="F42" s="530"/>
    </row>
    <row r="43" spans="1:6" ht="14.1" customHeight="1" x14ac:dyDescent="0.25">
      <c r="A43" s="361" t="s">
        <v>67</v>
      </c>
      <c r="B43" s="362" t="s">
        <v>91</v>
      </c>
      <c r="C43" s="379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9">
        <f>Pool!AL38</f>
        <v>306</v>
      </c>
    </row>
    <row r="45" spans="1:6" ht="12.75" customHeight="1" x14ac:dyDescent="0.25">
      <c r="A45" s="205"/>
      <c r="B45" s="208" t="s">
        <v>65</v>
      </c>
      <c r="C45" s="209">
        <f>SUM(C35:C44)</f>
        <v>406592.69000000012</v>
      </c>
    </row>
    <row r="46" spans="1:6" ht="5.0999999999999996" customHeight="1" thickBot="1" x14ac:dyDescent="0.3">
      <c r="D46" s="209"/>
      <c r="E46" s="210"/>
    </row>
    <row r="47" spans="1:6" ht="14.1" customHeight="1" x14ac:dyDescent="0.25">
      <c r="B47" s="126" t="s">
        <v>57</v>
      </c>
      <c r="C47" s="236">
        <f>Pool!AJ47</f>
        <v>18120</v>
      </c>
    </row>
    <row r="48" spans="1:6" ht="14.1" customHeight="1" x14ac:dyDescent="0.25">
      <c r="B48" s="129" t="s">
        <v>58</v>
      </c>
      <c r="C48" s="237">
        <f>Pool!AJ48</f>
        <v>3050</v>
      </c>
    </row>
    <row r="49" spans="1:5" ht="14.1" customHeight="1" thickBot="1" x14ac:dyDescent="0.3">
      <c r="B49" s="238" t="s">
        <v>106</v>
      </c>
      <c r="C49" s="239">
        <f>C47+C48</f>
        <v>21170</v>
      </c>
    </row>
    <row r="50" spans="1:5" ht="5.0999999999999996" customHeight="1" thickBot="1" x14ac:dyDescent="0.3"/>
    <row r="51" spans="1:5" ht="14.1" customHeight="1" thickBot="1" x14ac:dyDescent="0.3">
      <c r="B51" s="240" t="s">
        <v>116</v>
      </c>
      <c r="C51" s="241">
        <f>Pool!AJ54</f>
        <v>17.375174139859816</v>
      </c>
    </row>
    <row r="52" spans="1:5" ht="5.0999999999999996" customHeight="1" thickBot="1" x14ac:dyDescent="0.3"/>
    <row r="53" spans="1:5" ht="14.1" customHeight="1" thickBot="1" x14ac:dyDescent="0.3">
      <c r="A53" s="264"/>
      <c r="B53" s="299" t="s">
        <v>128</v>
      </c>
      <c r="C53" s="300" t="s">
        <v>139</v>
      </c>
    </row>
    <row r="54" spans="1:5" ht="14.1" customHeight="1" x14ac:dyDescent="0.25">
      <c r="B54" s="83" t="s">
        <v>133</v>
      </c>
      <c r="C54" s="311">
        <f>Pool!AJ57</f>
        <v>0</v>
      </c>
    </row>
    <row r="55" spans="1:5" ht="14.1" customHeight="1" x14ac:dyDescent="0.25">
      <c r="A55" s="264"/>
      <c r="B55" s="312" t="s">
        <v>134</v>
      </c>
      <c r="C55" s="313">
        <f>Pool!AJ58</f>
        <v>0</v>
      </c>
    </row>
    <row r="56" spans="1:5" ht="14.1" customHeight="1" x14ac:dyDescent="0.25">
      <c r="B56" s="312" t="s">
        <v>136</v>
      </c>
      <c r="C56" s="313">
        <f>Pool!AJ59</f>
        <v>0</v>
      </c>
    </row>
    <row r="57" spans="1:5" ht="14.1" customHeight="1" thickBot="1" x14ac:dyDescent="0.3">
      <c r="B57" s="314" t="s">
        <v>140</v>
      </c>
      <c r="C57" s="315">
        <f>Pool!AJ60</f>
        <v>0</v>
      </c>
    </row>
    <row r="58" spans="1:5" x14ac:dyDescent="0.25">
      <c r="A58" s="376"/>
      <c r="B58" s="376"/>
      <c r="C58" s="376"/>
      <c r="E58" s="376"/>
    </row>
    <row r="59" spans="1:5" x14ac:dyDescent="0.25">
      <c r="D59" s="376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H11" sqref="H11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2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115</v>
      </c>
      <c r="B1" s="254" t="str">
        <f>CONCATENATE('Cash Flow'!C1, "  ",'Cash Flow'!D1)</f>
        <v>August  2023</v>
      </c>
    </row>
    <row r="2" spans="1:5" ht="15.75" thickBot="1" x14ac:dyDescent="0.3"/>
    <row r="3" spans="1:5" x14ac:dyDescent="0.25">
      <c r="A3" s="250" t="s">
        <v>61</v>
      </c>
      <c r="B3" s="251" t="s">
        <v>100</v>
      </c>
      <c r="C3" s="128">
        <f>'Box Canon'!AH3+'Box Canon'!AH9</f>
        <v>1069.1599999999999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100420.32</v>
      </c>
      <c r="D4" s="116"/>
    </row>
    <row r="5" spans="1:5" x14ac:dyDescent="0.25">
      <c r="A5" s="252" t="s">
        <v>80</v>
      </c>
      <c r="B5" s="253" t="s">
        <v>101</v>
      </c>
      <c r="C5" s="131">
        <f>'Box Canon'!AH5+'Box Canon'!AH11</f>
        <v>403.01</v>
      </c>
      <c r="D5" s="116"/>
    </row>
    <row r="6" spans="1:5" x14ac:dyDescent="0.25">
      <c r="A6" s="252" t="s">
        <v>79</v>
      </c>
      <c r="B6" s="253" t="s">
        <v>102</v>
      </c>
      <c r="C6" s="131">
        <f>'Box Canon'!AH6+'Box Canon'!AH12</f>
        <v>11315.419999999998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37.940000000000005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2996.3400000000006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116242.19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92</v>
      </c>
      <c r="C13" s="128">
        <f>'Box Canon'!AL20</f>
        <v>38788.189999999988</v>
      </c>
    </row>
    <row r="14" spans="1:5" x14ac:dyDescent="0.25">
      <c r="A14" s="129" t="s">
        <v>60</v>
      </c>
      <c r="B14" s="130" t="s">
        <v>94</v>
      </c>
      <c r="C14" s="131">
        <f>'Box Canon'!AM20</f>
        <v>405.29</v>
      </c>
    </row>
    <row r="15" spans="1:5" x14ac:dyDescent="0.25">
      <c r="A15" s="129" t="s">
        <v>60</v>
      </c>
      <c r="B15" s="130" t="s">
        <v>93</v>
      </c>
      <c r="C15" s="131">
        <f>'Box Canon'!AL21</f>
        <v>67354.28</v>
      </c>
      <c r="E15" s="255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7286.0500000000011</v>
      </c>
    </row>
    <row r="17" spans="1:4" x14ac:dyDescent="0.25">
      <c r="A17" s="129" t="s">
        <v>60</v>
      </c>
      <c r="B17" s="130" t="s">
        <v>207</v>
      </c>
      <c r="C17" s="131">
        <f>'Box Canon'!AL22</f>
        <v>0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2408.38</v>
      </c>
    </row>
    <row r="20" spans="1:4" x14ac:dyDescent="0.25">
      <c r="A20" s="129"/>
      <c r="B20" s="130"/>
      <c r="C20" s="131"/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116242.18999999999</v>
      </c>
    </row>
    <row r="23" spans="1:4" ht="15.75" thickBot="1" x14ac:dyDescent="0.3"/>
    <row r="24" spans="1:4" x14ac:dyDescent="0.25">
      <c r="B24" s="531" t="s">
        <v>57</v>
      </c>
      <c r="C24" s="532"/>
    </row>
    <row r="25" spans="1:4" x14ac:dyDescent="0.25">
      <c r="B25" s="143" t="s">
        <v>75</v>
      </c>
      <c r="C25" s="145">
        <f>'Box Canon'!AJ32</f>
        <v>10175</v>
      </c>
    </row>
    <row r="26" spans="1:4" x14ac:dyDescent="0.25">
      <c r="B26" s="143" t="s">
        <v>74</v>
      </c>
      <c r="C26" s="145">
        <f>'Box Canon'!AJ33</f>
        <v>2448</v>
      </c>
    </row>
    <row r="27" spans="1:4" x14ac:dyDescent="0.25">
      <c r="B27" s="143" t="s">
        <v>199</v>
      </c>
      <c r="C27" s="145">
        <f>'Box Canon'!AJ34</f>
        <v>216</v>
      </c>
    </row>
    <row r="28" spans="1:4" x14ac:dyDescent="0.25">
      <c r="B28" s="143" t="s">
        <v>72</v>
      </c>
      <c r="C28" s="145">
        <f>'Box Canon'!AJ35</f>
        <v>117</v>
      </c>
    </row>
    <row r="29" spans="1:4" x14ac:dyDescent="0.25">
      <c r="B29" s="143" t="s">
        <v>73</v>
      </c>
      <c r="C29" s="145">
        <f>'Box Canon'!AJ36</f>
        <v>2741</v>
      </c>
    </row>
    <row r="30" spans="1:4" x14ac:dyDescent="0.25">
      <c r="B30" s="143" t="s">
        <v>71</v>
      </c>
      <c r="C30" s="145">
        <f>'Box Canon'!AJ37</f>
        <v>514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16211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J27" sqref="J27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209</v>
      </c>
      <c r="B1" s="254" t="str">
        <f>CONCATENATE('Cash Flow'!C1, " ",'Cash Flow'!D1)</f>
        <v>August 2023</v>
      </c>
    </row>
    <row r="2" spans="1:5" ht="15.75" thickBot="1" x14ac:dyDescent="0.3"/>
    <row r="3" spans="1:5" x14ac:dyDescent="0.25">
      <c r="A3" s="250" t="s">
        <v>61</v>
      </c>
      <c r="B3" s="251" t="s">
        <v>217</v>
      </c>
      <c r="C3" s="128">
        <f>'Visitor Center'!AH3</f>
        <v>252.04999999999998</v>
      </c>
      <c r="D3" s="116"/>
    </row>
    <row r="4" spans="1:5" x14ac:dyDescent="0.25">
      <c r="A4" s="252" t="s">
        <v>210</v>
      </c>
      <c r="B4" s="253" t="s">
        <v>211</v>
      </c>
      <c r="C4" s="131">
        <f>'Visitor Center'!AH4</f>
        <v>2669.6899999999991</v>
      </c>
      <c r="D4" s="116"/>
    </row>
    <row r="5" spans="1:5" x14ac:dyDescent="0.25">
      <c r="A5" s="252" t="s">
        <v>210</v>
      </c>
      <c r="B5" s="253" t="s">
        <v>235</v>
      </c>
      <c r="C5" s="131">
        <f>'Visitor Center'!AH5</f>
        <v>648.85</v>
      </c>
      <c r="D5" s="116"/>
    </row>
    <row r="6" spans="1:5" x14ac:dyDescent="0.25">
      <c r="A6" s="252" t="s">
        <v>210</v>
      </c>
      <c r="B6" s="253" t="s">
        <v>234</v>
      </c>
      <c r="C6" s="131">
        <f>'Visitor Center'!AH6</f>
        <v>378.75</v>
      </c>
      <c r="D6" s="116"/>
    </row>
    <row r="7" spans="1:5" x14ac:dyDescent="0.25">
      <c r="A7" s="252" t="s">
        <v>214</v>
      </c>
      <c r="B7" s="130" t="s">
        <v>215</v>
      </c>
      <c r="C7" s="131">
        <f>-'Visitor Center'!AL13</f>
        <v>211.68</v>
      </c>
      <c r="D7" s="116"/>
    </row>
    <row r="8" spans="1:5" ht="15.75" thickBot="1" x14ac:dyDescent="0.3">
      <c r="A8" s="182"/>
      <c r="B8" s="183"/>
      <c r="C8" s="184"/>
      <c r="D8" s="254"/>
      <c r="E8" s="170"/>
    </row>
    <row r="9" spans="1:5" x14ac:dyDescent="0.25">
      <c r="A9" s="116"/>
      <c r="B9" s="248" t="s">
        <v>64</v>
      </c>
      <c r="C9" s="206"/>
      <c r="D9" s="249">
        <f>SUM(C3:C7)</f>
        <v>4161.0199999999995</v>
      </c>
    </row>
    <row r="10" spans="1:5" ht="15.75" thickBot="1" x14ac:dyDescent="0.3">
      <c r="C10" s="156"/>
    </row>
    <row r="11" spans="1:5" x14ac:dyDescent="0.25">
      <c r="A11" s="126" t="s">
        <v>60</v>
      </c>
      <c r="B11" s="127" t="s">
        <v>218</v>
      </c>
      <c r="C11" s="128">
        <f>'Visitor Center'!AL9</f>
        <v>857.99000000000024</v>
      </c>
    </row>
    <row r="12" spans="1:5" x14ac:dyDescent="0.25">
      <c r="A12" s="129" t="s">
        <v>60</v>
      </c>
      <c r="B12" s="130" t="s">
        <v>219</v>
      </c>
      <c r="C12" s="131">
        <f>'Visitor Center'!AM9</f>
        <v>56.47</v>
      </c>
    </row>
    <row r="13" spans="1:5" x14ac:dyDescent="0.25">
      <c r="A13" s="129" t="s">
        <v>60</v>
      </c>
      <c r="B13" s="130" t="s">
        <v>220</v>
      </c>
      <c r="C13" s="131">
        <f>'Visitor Center'!AL10</f>
        <v>2654.9700000000003</v>
      </c>
      <c r="E13" s="255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490.26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101.32999999999997</v>
      </c>
    </row>
    <row r="16" spans="1:5" x14ac:dyDescent="0.25">
      <c r="A16" s="129"/>
      <c r="B16" s="130"/>
      <c r="C16" s="131"/>
    </row>
    <row r="17" spans="1:4" ht="15.75" thickBot="1" x14ac:dyDescent="0.3">
      <c r="A17" s="182"/>
      <c r="B17" s="183"/>
      <c r="C17" s="184"/>
      <c r="D17" s="170"/>
    </row>
    <row r="18" spans="1:4" x14ac:dyDescent="0.25">
      <c r="B18" s="248" t="s">
        <v>65</v>
      </c>
      <c r="C18" s="206"/>
      <c r="D18" s="249">
        <f>SUM(C11:C16)</f>
        <v>4161.0200000000004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2023-09-21T17:41:58Z</cp:lastPrinted>
  <dcterms:created xsi:type="dcterms:W3CDTF">2017-08-14T15:26:56Z</dcterms:created>
  <dcterms:modified xsi:type="dcterms:W3CDTF">2023-09-21T18:19:57Z</dcterms:modified>
</cp:coreProperties>
</file>