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6" windowHeight="8340" firstSheet="3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4" i="3" l="1"/>
  <c r="AL34" i="3"/>
  <c r="AL45" i="3"/>
  <c r="AM45" i="3"/>
  <c r="AF44" i="9" l="1"/>
  <c r="AF43" i="9"/>
  <c r="AF41" i="9"/>
  <c r="AF40" i="9"/>
  <c r="AF39" i="9"/>
  <c r="AF19" i="9"/>
  <c r="AM20" i="9"/>
  <c r="AE44" i="9"/>
  <c r="AE43" i="9"/>
  <c r="AE41" i="9"/>
  <c r="AE40" i="9"/>
  <c r="AE39" i="9"/>
  <c r="AD44" i="9"/>
  <c r="AD43" i="9"/>
  <c r="AD40" i="9"/>
  <c r="AD39" i="9"/>
  <c r="AM15" i="10" l="1"/>
  <c r="AM10" i="10"/>
  <c r="AL15" i="10"/>
  <c r="AL10" i="10" s="1"/>
  <c r="AM9" i="10"/>
  <c r="AL9" i="10"/>
  <c r="AL20" i="9"/>
  <c r="AM21" i="9"/>
  <c r="AM29" i="9"/>
  <c r="AL29" i="9"/>
  <c r="AL21" i="9"/>
  <c r="AL33" i="3"/>
  <c r="AM33" i="3"/>
  <c r="AC44" i="9" l="1"/>
  <c r="AC43" i="9"/>
  <c r="AC40" i="9"/>
  <c r="AC39" i="9"/>
  <c r="AB44" i="9"/>
  <c r="AB43" i="9"/>
  <c r="AB40" i="9"/>
  <c r="AB39" i="9"/>
  <c r="Z44" i="9" l="1"/>
  <c r="Z43" i="9"/>
  <c r="Z41" i="9"/>
  <c r="Z40" i="9"/>
  <c r="Z39" i="9"/>
  <c r="Y43" i="9"/>
  <c r="Y41" i="9"/>
  <c r="Y40" i="9"/>
  <c r="Y39" i="9"/>
  <c r="X44" i="9"/>
  <c r="X43" i="9"/>
  <c r="X41" i="9"/>
  <c r="X40" i="9"/>
  <c r="X39" i="9"/>
  <c r="W44" i="9"/>
  <c r="W43" i="9"/>
  <c r="W41" i="9"/>
  <c r="W40" i="9"/>
  <c r="W39" i="9"/>
  <c r="V44" i="9" l="1"/>
  <c r="V43" i="9"/>
  <c r="V40" i="9"/>
  <c r="V39" i="9"/>
  <c r="U44" i="9"/>
  <c r="U43" i="9"/>
  <c r="U40" i="9"/>
  <c r="U39" i="9"/>
  <c r="T44" i="9" l="1"/>
  <c r="T43" i="9"/>
  <c r="T41" i="9"/>
  <c r="T40" i="9"/>
  <c r="T39" i="9"/>
  <c r="S44" i="9" l="1"/>
  <c r="S43" i="9"/>
  <c r="S41" i="9"/>
  <c r="S40" i="9"/>
  <c r="S39" i="9"/>
  <c r="R44" i="9"/>
  <c r="R43" i="9"/>
  <c r="R40" i="9"/>
  <c r="R39" i="9"/>
  <c r="P44" i="9"/>
  <c r="P43" i="9"/>
  <c r="P40" i="9"/>
  <c r="P39" i="9"/>
  <c r="O44" i="9" l="1"/>
  <c r="O43" i="9"/>
  <c r="O41" i="9"/>
  <c r="O40" i="9"/>
  <c r="O39" i="9"/>
  <c r="N44" i="9"/>
  <c r="N43" i="9"/>
  <c r="N41" i="9"/>
  <c r="N40" i="9"/>
  <c r="N39" i="9"/>
  <c r="M44" i="9"/>
  <c r="M43" i="9"/>
  <c r="M41" i="9"/>
  <c r="M40" i="9"/>
  <c r="M39" i="9"/>
  <c r="L44" i="9" l="1"/>
  <c r="L43" i="9"/>
  <c r="L40" i="9"/>
  <c r="L39" i="9"/>
  <c r="K44" i="9"/>
  <c r="K43" i="9"/>
  <c r="K41" i="9"/>
  <c r="K40" i="9"/>
  <c r="K39" i="9"/>
  <c r="J44" i="9"/>
  <c r="J43" i="9"/>
  <c r="J40" i="9"/>
  <c r="J39" i="9"/>
  <c r="I44" i="9"/>
  <c r="I43" i="9"/>
  <c r="I41" i="9"/>
  <c r="I39" i="9"/>
  <c r="H44" i="9"/>
  <c r="H43" i="9"/>
  <c r="H40" i="9"/>
  <c r="H39" i="9"/>
  <c r="G44" i="9"/>
  <c r="G43" i="9"/>
  <c r="G41" i="9"/>
  <c r="G40" i="9"/>
  <c r="G39" i="9"/>
  <c r="AH5" i="10" l="1"/>
  <c r="C5" i="11" s="1"/>
  <c r="D30" i="9" l="1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F44" i="9" l="1"/>
  <c r="F43" i="9"/>
  <c r="F41" i="9"/>
  <c r="F40" i="9"/>
  <c r="F39" i="9"/>
  <c r="E44" i="9"/>
  <c r="E43" i="9"/>
  <c r="E42" i="9"/>
  <c r="E41" i="9"/>
  <c r="E40" i="9"/>
  <c r="E39" i="9"/>
  <c r="D44" i="9"/>
  <c r="D43" i="9"/>
  <c r="D41" i="9"/>
  <c r="D40" i="9"/>
  <c r="D39" i="9"/>
  <c r="C44" i="9" l="1"/>
  <c r="C43" i="9"/>
  <c r="C41" i="9"/>
  <c r="C40" i="9"/>
  <c r="C39" i="9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AL37" i="3" l="1"/>
  <c r="AM35" i="3"/>
  <c r="AL35" i="3"/>
  <c r="AM22" i="9"/>
  <c r="AL22" i="9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D18" i="11" l="1"/>
  <c r="C6" i="5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H41" i="9" l="1"/>
  <c r="P41" i="9"/>
  <c r="Q41" i="9"/>
  <c r="AC41" i="9"/>
  <c r="AG41" i="9"/>
  <c r="H34" i="9"/>
  <c r="J34" i="9"/>
  <c r="L34" i="9"/>
  <c r="P34" i="9"/>
  <c r="R34" i="9"/>
  <c r="U34" i="9"/>
  <c r="AA34" i="9"/>
  <c r="AA41" i="9" s="1"/>
  <c r="AB34" i="9"/>
  <c r="AC34" i="9"/>
  <c r="AD34" i="9"/>
  <c r="AG34" i="9"/>
  <c r="AA33" i="9"/>
  <c r="AA40" i="9" s="1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Q44" i="9"/>
  <c r="AG43" i="9"/>
  <c r="Q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L42" i="9"/>
  <c r="K42" i="9"/>
  <c r="J42" i="9"/>
  <c r="I42" i="9"/>
  <c r="H42" i="9"/>
  <c r="F42" i="9"/>
  <c r="C42" i="9"/>
  <c r="AG40" i="9"/>
  <c r="Q40" i="9"/>
  <c r="AG39" i="9"/>
  <c r="Q39" i="9"/>
  <c r="AA32" i="9"/>
  <c r="AA39" i="9" s="1"/>
  <c r="AG32" i="9"/>
  <c r="D35" i="9"/>
  <c r="F35" i="9"/>
  <c r="G35" i="9"/>
  <c r="H35" i="9"/>
  <c r="I35" i="9"/>
  <c r="J35" i="9"/>
  <c r="K35" i="9"/>
  <c r="L35" i="9"/>
  <c r="M35" i="9"/>
  <c r="N35" i="9"/>
  <c r="O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F35" i="9"/>
  <c r="AG35" i="9"/>
  <c r="AA36" i="9"/>
  <c r="AA43" i="9" s="1"/>
  <c r="AG36" i="9"/>
  <c r="Y37" i="9"/>
  <c r="AA37" i="9"/>
  <c r="AA44" i="9" s="1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M44" i="3" s="1"/>
  <c r="AH39" i="3"/>
  <c r="C41" i="3"/>
  <c r="AH41" i="3" s="1"/>
  <c r="AN39" i="3" l="1"/>
  <c r="C42" i="5"/>
  <c r="C45" i="5" s="1"/>
  <c r="AN44" i="3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split $330 from customer A/R to Pool and Gym membership revenue</t>
        </r>
      </text>
    </comment>
    <comment ref="Y21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lifeguard class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7752.29 short credit card payments to correct double deposit of 8/7 cc
$2.15 true over/short
Sydney G over $0.90
Steve S short $4.00
Peg R over $0.05
Lilly G over $0.90
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$6069.32 short credit card deposit to correct 8/7 double deposit
$0.40 true over/short
Steve S
Lilly G
Sydney G
Peg R short $0.40
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over $0.49
Glynn W over $0.09
Sara W over $6.22
Athena L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Athena L
Sara W over $0.85
Peg R over $0.10
Sydney G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short $52.87 ($52.00 refunded 9/6)
Sara W over $9.00
Peg R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$52 refunded from 9/5
$2.54 true over/short
Peg R short $0.50
Glynn W over $3.04
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$1.00 over
Steve S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 short $0.05
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Sydney G
Mary M (cash refund only)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short $0.02
Sara W
Glynn W short $0.08</t>
        </r>
      </text>
    </comment>
    <comment ref="M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$0.24 over
Sara W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over $0.70
Glynn W over $0.09</t>
        </r>
      </text>
    </comment>
    <comment ref="O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
Peg R $1.00 over
Olivia C/Lilly G/Mary M $0.05 over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 
Lilly G $1.18 over</t>
        </r>
      </text>
    </comment>
    <comment ref="Q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Sydney G
Steve S
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Marina N $0.18 short
Sara W $8.00 short
Glynn W $0.89 short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Peg R
</t>
        </r>
      </text>
    </comment>
    <comment ref="U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short $7.99
Sara W
deposit over $10.00</t>
        </r>
      </text>
    </comment>
    <comment ref="V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 short $0.50</t>
        </r>
      </text>
    </comment>
    <comment ref="W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 $20.00 short
Lilly G</t>
        </r>
      </text>
    </comment>
    <comment ref="X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 $2.00 over</t>
        </r>
      </text>
    </comment>
    <comment ref="Y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
Steve S $6.00 short</t>
        </r>
      </text>
    </comment>
    <comment ref="Z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Athena L
Glynn W $43.00 over
Sara W
Marina N $0.01 short</t>
        </r>
      </text>
    </comment>
    <comment ref="AA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$1.00 over
Sara W $1.96 short</t>
        </r>
      </text>
    </comment>
    <comment ref="AB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Sara W
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 $0.36 over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Athena L
Mary M
Lilly G
Steve S</t>
        </r>
      </text>
    </comment>
    <comment ref="A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 $19 over
Steve S
Mary M</t>
        </r>
      </text>
    </comment>
    <comment ref="A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Sydney G
Mary M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Julie Lancaster</author>
    <author>MartyJo Davis</author>
  </authors>
  <commentList>
    <comment ref="Q18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one deposit of $569.23</t>
        </r>
      </text>
    </comment>
    <comment ref="AN2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W26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S27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F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separate $50 deposit with reports, added to donations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<sst xmlns="http://schemas.openxmlformats.org/spreadsheetml/2006/main" count="532" uniqueCount="236">
  <si>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</si>
  <si>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</si>
  <si>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</si>
  <si>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</si>
  <si>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</si>
  <si>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</si>
  <si>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</si>
  <si>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</si>
  <si>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</si>
  <si>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</si>
  <si>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</si>
  <si>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</si>
  <si>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</si>
  <si>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</si>
  <si>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</si>
  <si>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</si>
  <si>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</si>
  <si>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</si>
  <si>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</si>
  <si>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</si>
  <si>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</si>
  <si>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</si>
  <si>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</si>
  <si>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</si>
  <si>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</si>
  <si>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</si>
  <si>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</si>
  <si>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</si>
  <si>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</si>
  <si>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</si>
  <si>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</si>
  <si>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</si>
  <si>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</si>
  <si>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</si>
  <si>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</si>
  <si>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</si>
  <si>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</si>
  <si>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</si>
  <si>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</si>
  <si>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</si>
  <si>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</si>
  <si>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</si>
  <si>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</si>
  <si>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</si>
  <si>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</si>
  <si>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</si>
  <si>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</si>
  <si>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</si>
  <si>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</si>
  <si>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</si>
  <si>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</si>
  <si>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</si>
  <si>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</si>
  <si>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</si>
  <si>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</si>
  <si>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</si>
  <si>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</si>
  <si>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</si>
  <si>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</si>
  <si>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</si>
  <si>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</si>
  <si>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</si>
  <si>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</si>
  <si>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</si>
  <si>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</si>
  <si>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</si>
  <si>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</si>
  <si>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</si>
  <si>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</si>
  <si>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</si>
  <si>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</si>
  <si>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</si>
  <si>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</si>
  <si>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</si>
  <si>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</si>
  <si>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</si>
  <si>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</si>
  <si>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</si>
  <si>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</si>
  <si>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</si>
  <si>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</si>
  <si>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</si>
  <si>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</si>
  <si>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</si>
  <si>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</si>
  <si>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</si>
  <si>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</si>
  <si>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</si>
  <si>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</si>
  <si>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</si>
  <si>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</si>
  <si>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</si>
  <si>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</si>
  <si>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</si>
  <si>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</si>
  <si>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</si>
  <si>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</si>
  <si>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</si>
  <si>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</si>
  <si>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</si>
  <si>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</si>
  <si>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</si>
  <si>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</si>
  <si>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</si>
  <si>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</si>
  <si>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</si>
  <si>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</si>
  <si>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</si>
  <si>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</si>
  <si>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</si>
  <si>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</si>
  <si>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</si>
  <si>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</si>
  <si>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</si>
  <si>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</si>
  <si>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</si>
  <si>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</si>
  <si>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</si>
  <si>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</si>
  <si>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</si>
  <si>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</si>
  <si>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</si>
  <si>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</si>
  <si>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</si>
  <si>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</si>
  <si>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</si>
  <si>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</si>
  <si>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</si>
  <si>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</si>
  <si>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</si>
  <si>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</si>
  <si>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</si>
  <si>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</si>
  <si>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</si>
  <si>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</si>
  <si>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</si>
  <si>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</si>
  <si>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</si>
  <si>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</si>
  <si>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</si>
  <si>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</si>
  <si>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</si>
  <si>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</si>
  <si>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</si>
  <si>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</si>
  <si>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</si>
  <si>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</si>
  <si>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</si>
  <si>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</si>
  <si>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</si>
  <si>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</si>
  <si>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</si>
  <si>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</si>
  <si>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</si>
  <si>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</si>
  <si>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</si>
  <si>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</si>
  <si>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</si>
  <si>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</si>
  <si>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</si>
  <si>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</si>
  <si>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</si>
  <si>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</si>
  <si>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</si>
  <si>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</si>
  <si>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</si>
  <si>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</si>
  <si>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</si>
  <si>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</si>
  <si>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</si>
  <si>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</si>
  <si>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</si>
  <si>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</si>
  <si>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</si>
  <si>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</si>
  <si>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</si>
  <si>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</si>
  <si>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</si>
  <si>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</si>
  <si>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</si>
  <si>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</si>
  <si>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</si>
  <si>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</si>
  <si>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</si>
  <si>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</si>
  <si>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</si>
  <si>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</si>
  <si>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</si>
  <si>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</si>
  <si>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</si>
  <si>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</si>
  <si>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</si>
  <si>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</si>
  <si>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</si>
  <si>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</si>
  <si>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</si>
  <si>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</si>
  <si>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</si>
  <si>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</si>
  <si>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</si>
  <si>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</si>
  <si>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</si>
  <si>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</si>
  <si>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</si>
  <si>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</si>
  <si>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</si>
  <si>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</si>
  <si>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</si>
  <si>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</si>
  <si>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</si>
  <si>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</si>
  <si>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</si>
  <si>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</si>
  <si>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</si>
  <si>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</si>
  <si>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</si>
  <si>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</si>
  <si>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</si>
  <si>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</si>
  <si>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</si>
  <si>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</si>
  <si>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</si>
  <si>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</si>
  <si>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</si>
  <si>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</si>
  <si>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</si>
  <si>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</si>
  <si>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</si>
  <si>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</si>
  <si>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</si>
  <si>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</si>
  <si>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</si>
  <si>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</si>
  <si>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</si>
  <si>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September</t>
  </si>
  <si>
    <t>Non-profit Passthrough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</si>
</sst>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6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43" fontId="12" fillId="7" borderId="9" xfId="0" applyNumberFormat="1" applyFont="1" applyFill="1" applyBorder="1" applyProtection="1"/>
    <xf numFmtId="43" fontId="13" fillId="7" borderId="73" xfId="0" applyNumberFormat="1" applyFont="1" applyFill="1" applyBorder="1" applyProtection="1"/>
    <xf numFmtId="0" fontId="12" fillId="7" borderId="46" xfId="0" applyFont="1" applyFill="1" applyBorder="1" applyProtection="1"/>
    <xf numFmtId="43" fontId="12" fillId="7" borderId="19" xfId="0" applyNumberFormat="1" applyFont="1" applyFill="1" applyBorder="1" applyProtection="1"/>
    <xf numFmtId="2" fontId="12" fillId="7" borderId="46" xfId="0" applyNumberFormat="1" applyFont="1" applyFill="1" applyBorder="1" applyProtection="1"/>
    <xf numFmtId="2" fontId="12" fillId="0" borderId="46" xfId="0" applyNumberFormat="1" applyFont="1" applyFill="1" applyBorder="1" applyProtection="1"/>
    <xf numFmtId="43" fontId="45" fillId="0" borderId="9" xfId="0" applyNumberFormat="1" applyFont="1" applyBorder="1" applyProtection="1"/>
    <xf numFmtId="43" fontId="45" fillId="0" borderId="17" xfId="0" applyNumberFormat="1" applyFont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0" fontId="45" fillId="7" borderId="46" xfId="0" applyFont="1" applyFill="1" applyBorder="1" applyProtection="1"/>
    <xf numFmtId="43" fontId="0" fillId="0" borderId="47" xfId="0" applyNumberFormat="1" applyFont="1" applyBorder="1" applyProtection="1">
      <protection locked="0"/>
    </xf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8671875" defaultRowHeight="13.2" x14ac:dyDescent="0.25"/>
  <cols>
    <col min="1" max="1" width="10.109375" style="2" bestFit="1" customWidth="1"/>
    <col min="2" max="2" width="4.5546875" style="229" customWidth="1"/>
    <col min="3" max="3" width="11.88671875" style="3" customWidth="1"/>
    <col min="4" max="4" width="10.6640625" style="3" customWidth="1"/>
    <col min="5" max="5" width="11.33203125" style="3" customWidth="1"/>
    <col min="6" max="9" width="10.6640625" style="3" customWidth="1"/>
    <col min="10" max="10" width="11.88671875" style="3" customWidth="1"/>
    <col min="11" max="11" width="11.33203125" style="3" customWidth="1"/>
    <col min="12" max="12" width="12.33203125" style="3" customWidth="1"/>
    <col min="13" max="13" width="13.44140625" style="3" bestFit="1" customWidth="1"/>
    <col min="14" max="14" width="4.109375" style="4" customWidth="1"/>
    <col min="15" max="15" width="13.88671875" style="2" customWidth="1"/>
    <col min="16" max="16" width="12.33203125" style="2" customWidth="1"/>
    <col min="17" max="17" width="12.44140625" style="2" customWidth="1"/>
    <col min="18" max="18" width="13.5546875" style="2" bestFit="1" customWidth="1"/>
    <col min="19" max="19" width="4.44140625" style="4" customWidth="1"/>
    <col min="20" max="20" width="15" style="2" customWidth="1"/>
    <col min="21" max="21" width="8.88671875" style="2"/>
    <col min="22" max="22" width="10.33203125" style="2" bestFit="1" customWidth="1"/>
    <col min="23" max="257" width="8.88671875" style="2"/>
    <col min="258" max="258" width="10.109375" style="2" bestFit="1" customWidth="1"/>
    <col min="259" max="259" width="2.6640625" style="2" customWidth="1"/>
    <col min="260" max="260" width="11.88671875" style="2" customWidth="1"/>
    <col min="261" max="261" width="10.6640625" style="2" customWidth="1"/>
    <col min="262" max="262" width="11.33203125" style="2" customWidth="1"/>
    <col min="263" max="265" width="10.6640625" style="2" customWidth="1"/>
    <col min="266" max="266" width="11.88671875" style="2" customWidth="1"/>
    <col min="267" max="267" width="11.33203125" style="2" customWidth="1"/>
    <col min="268" max="268" width="12.33203125" style="2" customWidth="1"/>
    <col min="269" max="269" width="13.44140625" style="2" bestFit="1" customWidth="1"/>
    <col min="270" max="270" width="4.109375" style="2" customWidth="1"/>
    <col min="271" max="271" width="13.88671875" style="2" customWidth="1"/>
    <col min="272" max="272" width="12.33203125" style="2" customWidth="1"/>
    <col min="273" max="273" width="12.44140625" style="2" customWidth="1"/>
    <col min="274" max="274" width="13.5546875" style="2" bestFit="1" customWidth="1"/>
    <col min="275" max="275" width="4.44140625" style="2" customWidth="1"/>
    <col min="276" max="276" width="15" style="2" customWidth="1"/>
    <col min="277" max="277" width="8.88671875" style="2"/>
    <col min="278" max="278" width="10.33203125" style="2" bestFit="1" customWidth="1"/>
    <col min="279" max="513" width="8.88671875" style="2"/>
    <col min="514" max="514" width="10.109375" style="2" bestFit="1" customWidth="1"/>
    <col min="515" max="515" width="2.6640625" style="2" customWidth="1"/>
    <col min="516" max="516" width="11.88671875" style="2" customWidth="1"/>
    <col min="517" max="517" width="10.6640625" style="2" customWidth="1"/>
    <col min="518" max="518" width="11.33203125" style="2" customWidth="1"/>
    <col min="519" max="521" width="10.6640625" style="2" customWidth="1"/>
    <col min="522" max="522" width="11.88671875" style="2" customWidth="1"/>
    <col min="523" max="523" width="11.33203125" style="2" customWidth="1"/>
    <col min="524" max="524" width="12.33203125" style="2" customWidth="1"/>
    <col min="525" max="525" width="13.44140625" style="2" bestFit="1" customWidth="1"/>
    <col min="526" max="526" width="4.109375" style="2" customWidth="1"/>
    <col min="527" max="527" width="13.88671875" style="2" customWidth="1"/>
    <col min="528" max="528" width="12.33203125" style="2" customWidth="1"/>
    <col min="529" max="529" width="12.44140625" style="2" customWidth="1"/>
    <col min="530" max="530" width="13.5546875" style="2" bestFit="1" customWidth="1"/>
    <col min="531" max="531" width="4.44140625" style="2" customWidth="1"/>
    <col min="532" max="532" width="15" style="2" customWidth="1"/>
    <col min="533" max="533" width="8.88671875" style="2"/>
    <col min="534" max="534" width="10.33203125" style="2" bestFit="1" customWidth="1"/>
    <col min="535" max="769" width="8.88671875" style="2"/>
    <col min="770" max="770" width="10.109375" style="2" bestFit="1" customWidth="1"/>
    <col min="771" max="771" width="2.6640625" style="2" customWidth="1"/>
    <col min="772" max="772" width="11.88671875" style="2" customWidth="1"/>
    <col min="773" max="773" width="10.6640625" style="2" customWidth="1"/>
    <col min="774" max="774" width="11.33203125" style="2" customWidth="1"/>
    <col min="775" max="777" width="10.6640625" style="2" customWidth="1"/>
    <col min="778" max="778" width="11.88671875" style="2" customWidth="1"/>
    <col min="779" max="779" width="11.33203125" style="2" customWidth="1"/>
    <col min="780" max="780" width="12.33203125" style="2" customWidth="1"/>
    <col min="781" max="781" width="13.44140625" style="2" bestFit="1" customWidth="1"/>
    <col min="782" max="782" width="4.109375" style="2" customWidth="1"/>
    <col min="783" max="783" width="13.88671875" style="2" customWidth="1"/>
    <col min="784" max="784" width="12.33203125" style="2" customWidth="1"/>
    <col min="785" max="785" width="12.44140625" style="2" customWidth="1"/>
    <col min="786" max="786" width="13.5546875" style="2" bestFit="1" customWidth="1"/>
    <col min="787" max="787" width="4.44140625" style="2" customWidth="1"/>
    <col min="788" max="788" width="15" style="2" customWidth="1"/>
    <col min="789" max="789" width="8.88671875" style="2"/>
    <col min="790" max="790" width="10.33203125" style="2" bestFit="1" customWidth="1"/>
    <col min="791" max="1025" width="8.88671875" style="2"/>
    <col min="1026" max="1026" width="10.109375" style="2" bestFit="1" customWidth="1"/>
    <col min="1027" max="1027" width="2.6640625" style="2" customWidth="1"/>
    <col min="1028" max="1028" width="11.88671875" style="2" customWidth="1"/>
    <col min="1029" max="1029" width="10.6640625" style="2" customWidth="1"/>
    <col min="1030" max="1030" width="11.33203125" style="2" customWidth="1"/>
    <col min="1031" max="1033" width="10.6640625" style="2" customWidth="1"/>
    <col min="1034" max="1034" width="11.88671875" style="2" customWidth="1"/>
    <col min="1035" max="1035" width="11.33203125" style="2" customWidth="1"/>
    <col min="1036" max="1036" width="12.33203125" style="2" customWidth="1"/>
    <col min="1037" max="1037" width="13.44140625" style="2" bestFit="1" customWidth="1"/>
    <col min="1038" max="1038" width="4.109375" style="2" customWidth="1"/>
    <col min="1039" max="1039" width="13.88671875" style="2" customWidth="1"/>
    <col min="1040" max="1040" width="12.33203125" style="2" customWidth="1"/>
    <col min="1041" max="1041" width="12.44140625" style="2" customWidth="1"/>
    <col min="1042" max="1042" width="13.5546875" style="2" bestFit="1" customWidth="1"/>
    <col min="1043" max="1043" width="4.44140625" style="2" customWidth="1"/>
    <col min="1044" max="1044" width="15" style="2" customWidth="1"/>
    <col min="1045" max="1045" width="8.88671875" style="2"/>
    <col min="1046" max="1046" width="10.33203125" style="2" bestFit="1" customWidth="1"/>
    <col min="1047" max="1281" width="8.88671875" style="2"/>
    <col min="1282" max="1282" width="10.109375" style="2" bestFit="1" customWidth="1"/>
    <col min="1283" max="1283" width="2.6640625" style="2" customWidth="1"/>
    <col min="1284" max="1284" width="11.88671875" style="2" customWidth="1"/>
    <col min="1285" max="1285" width="10.6640625" style="2" customWidth="1"/>
    <col min="1286" max="1286" width="11.33203125" style="2" customWidth="1"/>
    <col min="1287" max="1289" width="10.6640625" style="2" customWidth="1"/>
    <col min="1290" max="1290" width="11.88671875" style="2" customWidth="1"/>
    <col min="1291" max="1291" width="11.33203125" style="2" customWidth="1"/>
    <col min="1292" max="1292" width="12.33203125" style="2" customWidth="1"/>
    <col min="1293" max="1293" width="13.44140625" style="2" bestFit="1" customWidth="1"/>
    <col min="1294" max="1294" width="4.109375" style="2" customWidth="1"/>
    <col min="1295" max="1295" width="13.88671875" style="2" customWidth="1"/>
    <col min="1296" max="1296" width="12.33203125" style="2" customWidth="1"/>
    <col min="1297" max="1297" width="12.44140625" style="2" customWidth="1"/>
    <col min="1298" max="1298" width="13.5546875" style="2" bestFit="1" customWidth="1"/>
    <col min="1299" max="1299" width="4.44140625" style="2" customWidth="1"/>
    <col min="1300" max="1300" width="15" style="2" customWidth="1"/>
    <col min="1301" max="1301" width="8.88671875" style="2"/>
    <col min="1302" max="1302" width="10.33203125" style="2" bestFit="1" customWidth="1"/>
    <col min="1303" max="1537" width="8.88671875" style="2"/>
    <col min="1538" max="1538" width="10.109375" style="2" bestFit="1" customWidth="1"/>
    <col min="1539" max="1539" width="2.6640625" style="2" customWidth="1"/>
    <col min="1540" max="1540" width="11.88671875" style="2" customWidth="1"/>
    <col min="1541" max="1541" width="10.6640625" style="2" customWidth="1"/>
    <col min="1542" max="1542" width="11.33203125" style="2" customWidth="1"/>
    <col min="1543" max="1545" width="10.6640625" style="2" customWidth="1"/>
    <col min="1546" max="1546" width="11.88671875" style="2" customWidth="1"/>
    <col min="1547" max="1547" width="11.33203125" style="2" customWidth="1"/>
    <col min="1548" max="1548" width="12.33203125" style="2" customWidth="1"/>
    <col min="1549" max="1549" width="13.44140625" style="2" bestFit="1" customWidth="1"/>
    <col min="1550" max="1550" width="4.109375" style="2" customWidth="1"/>
    <col min="1551" max="1551" width="13.88671875" style="2" customWidth="1"/>
    <col min="1552" max="1552" width="12.33203125" style="2" customWidth="1"/>
    <col min="1553" max="1553" width="12.44140625" style="2" customWidth="1"/>
    <col min="1554" max="1554" width="13.5546875" style="2" bestFit="1" customWidth="1"/>
    <col min="1555" max="1555" width="4.44140625" style="2" customWidth="1"/>
    <col min="1556" max="1556" width="15" style="2" customWidth="1"/>
    <col min="1557" max="1557" width="8.88671875" style="2"/>
    <col min="1558" max="1558" width="10.33203125" style="2" bestFit="1" customWidth="1"/>
    <col min="1559" max="1793" width="8.88671875" style="2"/>
    <col min="1794" max="1794" width="10.109375" style="2" bestFit="1" customWidth="1"/>
    <col min="1795" max="1795" width="2.6640625" style="2" customWidth="1"/>
    <col min="1796" max="1796" width="11.88671875" style="2" customWidth="1"/>
    <col min="1797" max="1797" width="10.6640625" style="2" customWidth="1"/>
    <col min="1798" max="1798" width="11.33203125" style="2" customWidth="1"/>
    <col min="1799" max="1801" width="10.6640625" style="2" customWidth="1"/>
    <col min="1802" max="1802" width="11.88671875" style="2" customWidth="1"/>
    <col min="1803" max="1803" width="11.33203125" style="2" customWidth="1"/>
    <col min="1804" max="1804" width="12.33203125" style="2" customWidth="1"/>
    <col min="1805" max="1805" width="13.44140625" style="2" bestFit="1" customWidth="1"/>
    <col min="1806" max="1806" width="4.109375" style="2" customWidth="1"/>
    <col min="1807" max="1807" width="13.88671875" style="2" customWidth="1"/>
    <col min="1808" max="1808" width="12.33203125" style="2" customWidth="1"/>
    <col min="1809" max="1809" width="12.44140625" style="2" customWidth="1"/>
    <col min="1810" max="1810" width="13.5546875" style="2" bestFit="1" customWidth="1"/>
    <col min="1811" max="1811" width="4.44140625" style="2" customWidth="1"/>
    <col min="1812" max="1812" width="15" style="2" customWidth="1"/>
    <col min="1813" max="1813" width="8.88671875" style="2"/>
    <col min="1814" max="1814" width="10.33203125" style="2" bestFit="1" customWidth="1"/>
    <col min="1815" max="2049" width="8.88671875" style="2"/>
    <col min="2050" max="2050" width="10.109375" style="2" bestFit="1" customWidth="1"/>
    <col min="2051" max="2051" width="2.6640625" style="2" customWidth="1"/>
    <col min="2052" max="2052" width="11.88671875" style="2" customWidth="1"/>
    <col min="2053" max="2053" width="10.6640625" style="2" customWidth="1"/>
    <col min="2054" max="2054" width="11.33203125" style="2" customWidth="1"/>
    <col min="2055" max="2057" width="10.6640625" style="2" customWidth="1"/>
    <col min="2058" max="2058" width="11.88671875" style="2" customWidth="1"/>
    <col min="2059" max="2059" width="11.33203125" style="2" customWidth="1"/>
    <col min="2060" max="2060" width="12.33203125" style="2" customWidth="1"/>
    <col min="2061" max="2061" width="13.44140625" style="2" bestFit="1" customWidth="1"/>
    <col min="2062" max="2062" width="4.109375" style="2" customWidth="1"/>
    <col min="2063" max="2063" width="13.88671875" style="2" customWidth="1"/>
    <col min="2064" max="2064" width="12.33203125" style="2" customWidth="1"/>
    <col min="2065" max="2065" width="12.44140625" style="2" customWidth="1"/>
    <col min="2066" max="2066" width="13.5546875" style="2" bestFit="1" customWidth="1"/>
    <col min="2067" max="2067" width="4.44140625" style="2" customWidth="1"/>
    <col min="2068" max="2068" width="15" style="2" customWidth="1"/>
    <col min="2069" max="2069" width="8.88671875" style="2"/>
    <col min="2070" max="2070" width="10.33203125" style="2" bestFit="1" customWidth="1"/>
    <col min="2071" max="2305" width="8.88671875" style="2"/>
    <col min="2306" max="2306" width="10.109375" style="2" bestFit="1" customWidth="1"/>
    <col min="2307" max="2307" width="2.6640625" style="2" customWidth="1"/>
    <col min="2308" max="2308" width="11.88671875" style="2" customWidth="1"/>
    <col min="2309" max="2309" width="10.6640625" style="2" customWidth="1"/>
    <col min="2310" max="2310" width="11.33203125" style="2" customWidth="1"/>
    <col min="2311" max="2313" width="10.6640625" style="2" customWidth="1"/>
    <col min="2314" max="2314" width="11.88671875" style="2" customWidth="1"/>
    <col min="2315" max="2315" width="11.33203125" style="2" customWidth="1"/>
    <col min="2316" max="2316" width="12.33203125" style="2" customWidth="1"/>
    <col min="2317" max="2317" width="13.44140625" style="2" bestFit="1" customWidth="1"/>
    <col min="2318" max="2318" width="4.109375" style="2" customWidth="1"/>
    <col min="2319" max="2319" width="13.88671875" style="2" customWidth="1"/>
    <col min="2320" max="2320" width="12.33203125" style="2" customWidth="1"/>
    <col min="2321" max="2321" width="12.44140625" style="2" customWidth="1"/>
    <col min="2322" max="2322" width="13.5546875" style="2" bestFit="1" customWidth="1"/>
    <col min="2323" max="2323" width="4.44140625" style="2" customWidth="1"/>
    <col min="2324" max="2324" width="15" style="2" customWidth="1"/>
    <col min="2325" max="2325" width="8.88671875" style="2"/>
    <col min="2326" max="2326" width="10.33203125" style="2" bestFit="1" customWidth="1"/>
    <col min="2327" max="2561" width="8.88671875" style="2"/>
    <col min="2562" max="2562" width="10.109375" style="2" bestFit="1" customWidth="1"/>
    <col min="2563" max="2563" width="2.6640625" style="2" customWidth="1"/>
    <col min="2564" max="2564" width="11.88671875" style="2" customWidth="1"/>
    <col min="2565" max="2565" width="10.6640625" style="2" customWidth="1"/>
    <col min="2566" max="2566" width="11.33203125" style="2" customWidth="1"/>
    <col min="2567" max="2569" width="10.6640625" style="2" customWidth="1"/>
    <col min="2570" max="2570" width="11.88671875" style="2" customWidth="1"/>
    <col min="2571" max="2571" width="11.33203125" style="2" customWidth="1"/>
    <col min="2572" max="2572" width="12.33203125" style="2" customWidth="1"/>
    <col min="2573" max="2573" width="13.44140625" style="2" bestFit="1" customWidth="1"/>
    <col min="2574" max="2574" width="4.109375" style="2" customWidth="1"/>
    <col min="2575" max="2575" width="13.88671875" style="2" customWidth="1"/>
    <col min="2576" max="2576" width="12.33203125" style="2" customWidth="1"/>
    <col min="2577" max="2577" width="12.44140625" style="2" customWidth="1"/>
    <col min="2578" max="2578" width="13.5546875" style="2" bestFit="1" customWidth="1"/>
    <col min="2579" max="2579" width="4.44140625" style="2" customWidth="1"/>
    <col min="2580" max="2580" width="15" style="2" customWidth="1"/>
    <col min="2581" max="2581" width="8.88671875" style="2"/>
    <col min="2582" max="2582" width="10.33203125" style="2" bestFit="1" customWidth="1"/>
    <col min="2583" max="2817" width="8.88671875" style="2"/>
    <col min="2818" max="2818" width="10.109375" style="2" bestFit="1" customWidth="1"/>
    <col min="2819" max="2819" width="2.6640625" style="2" customWidth="1"/>
    <col min="2820" max="2820" width="11.88671875" style="2" customWidth="1"/>
    <col min="2821" max="2821" width="10.6640625" style="2" customWidth="1"/>
    <col min="2822" max="2822" width="11.33203125" style="2" customWidth="1"/>
    <col min="2823" max="2825" width="10.6640625" style="2" customWidth="1"/>
    <col min="2826" max="2826" width="11.88671875" style="2" customWidth="1"/>
    <col min="2827" max="2827" width="11.33203125" style="2" customWidth="1"/>
    <col min="2828" max="2828" width="12.33203125" style="2" customWidth="1"/>
    <col min="2829" max="2829" width="13.44140625" style="2" bestFit="1" customWidth="1"/>
    <col min="2830" max="2830" width="4.109375" style="2" customWidth="1"/>
    <col min="2831" max="2831" width="13.88671875" style="2" customWidth="1"/>
    <col min="2832" max="2832" width="12.33203125" style="2" customWidth="1"/>
    <col min="2833" max="2833" width="12.44140625" style="2" customWidth="1"/>
    <col min="2834" max="2834" width="13.5546875" style="2" bestFit="1" customWidth="1"/>
    <col min="2835" max="2835" width="4.44140625" style="2" customWidth="1"/>
    <col min="2836" max="2836" width="15" style="2" customWidth="1"/>
    <col min="2837" max="2837" width="8.88671875" style="2"/>
    <col min="2838" max="2838" width="10.33203125" style="2" bestFit="1" customWidth="1"/>
    <col min="2839" max="3073" width="8.88671875" style="2"/>
    <col min="3074" max="3074" width="10.109375" style="2" bestFit="1" customWidth="1"/>
    <col min="3075" max="3075" width="2.6640625" style="2" customWidth="1"/>
    <col min="3076" max="3076" width="11.88671875" style="2" customWidth="1"/>
    <col min="3077" max="3077" width="10.6640625" style="2" customWidth="1"/>
    <col min="3078" max="3078" width="11.33203125" style="2" customWidth="1"/>
    <col min="3079" max="3081" width="10.6640625" style="2" customWidth="1"/>
    <col min="3082" max="3082" width="11.88671875" style="2" customWidth="1"/>
    <col min="3083" max="3083" width="11.33203125" style="2" customWidth="1"/>
    <col min="3084" max="3084" width="12.33203125" style="2" customWidth="1"/>
    <col min="3085" max="3085" width="13.44140625" style="2" bestFit="1" customWidth="1"/>
    <col min="3086" max="3086" width="4.109375" style="2" customWidth="1"/>
    <col min="3087" max="3087" width="13.88671875" style="2" customWidth="1"/>
    <col min="3088" max="3088" width="12.33203125" style="2" customWidth="1"/>
    <col min="3089" max="3089" width="12.44140625" style="2" customWidth="1"/>
    <col min="3090" max="3090" width="13.5546875" style="2" bestFit="1" customWidth="1"/>
    <col min="3091" max="3091" width="4.44140625" style="2" customWidth="1"/>
    <col min="3092" max="3092" width="15" style="2" customWidth="1"/>
    <col min="3093" max="3093" width="8.88671875" style="2"/>
    <col min="3094" max="3094" width="10.33203125" style="2" bestFit="1" customWidth="1"/>
    <col min="3095" max="3329" width="8.88671875" style="2"/>
    <col min="3330" max="3330" width="10.109375" style="2" bestFit="1" customWidth="1"/>
    <col min="3331" max="3331" width="2.6640625" style="2" customWidth="1"/>
    <col min="3332" max="3332" width="11.88671875" style="2" customWidth="1"/>
    <col min="3333" max="3333" width="10.6640625" style="2" customWidth="1"/>
    <col min="3334" max="3334" width="11.33203125" style="2" customWidth="1"/>
    <col min="3335" max="3337" width="10.6640625" style="2" customWidth="1"/>
    <col min="3338" max="3338" width="11.88671875" style="2" customWidth="1"/>
    <col min="3339" max="3339" width="11.33203125" style="2" customWidth="1"/>
    <col min="3340" max="3340" width="12.33203125" style="2" customWidth="1"/>
    <col min="3341" max="3341" width="13.44140625" style="2" bestFit="1" customWidth="1"/>
    <col min="3342" max="3342" width="4.109375" style="2" customWidth="1"/>
    <col min="3343" max="3343" width="13.88671875" style="2" customWidth="1"/>
    <col min="3344" max="3344" width="12.33203125" style="2" customWidth="1"/>
    <col min="3345" max="3345" width="12.44140625" style="2" customWidth="1"/>
    <col min="3346" max="3346" width="13.5546875" style="2" bestFit="1" customWidth="1"/>
    <col min="3347" max="3347" width="4.44140625" style="2" customWidth="1"/>
    <col min="3348" max="3348" width="15" style="2" customWidth="1"/>
    <col min="3349" max="3349" width="8.88671875" style="2"/>
    <col min="3350" max="3350" width="10.33203125" style="2" bestFit="1" customWidth="1"/>
    <col min="3351" max="3585" width="8.88671875" style="2"/>
    <col min="3586" max="3586" width="10.109375" style="2" bestFit="1" customWidth="1"/>
    <col min="3587" max="3587" width="2.6640625" style="2" customWidth="1"/>
    <col min="3588" max="3588" width="11.88671875" style="2" customWidth="1"/>
    <col min="3589" max="3589" width="10.6640625" style="2" customWidth="1"/>
    <col min="3590" max="3590" width="11.33203125" style="2" customWidth="1"/>
    <col min="3591" max="3593" width="10.6640625" style="2" customWidth="1"/>
    <col min="3594" max="3594" width="11.88671875" style="2" customWidth="1"/>
    <col min="3595" max="3595" width="11.33203125" style="2" customWidth="1"/>
    <col min="3596" max="3596" width="12.33203125" style="2" customWidth="1"/>
    <col min="3597" max="3597" width="13.44140625" style="2" bestFit="1" customWidth="1"/>
    <col min="3598" max="3598" width="4.109375" style="2" customWidth="1"/>
    <col min="3599" max="3599" width="13.88671875" style="2" customWidth="1"/>
    <col min="3600" max="3600" width="12.33203125" style="2" customWidth="1"/>
    <col min="3601" max="3601" width="12.44140625" style="2" customWidth="1"/>
    <col min="3602" max="3602" width="13.5546875" style="2" bestFit="1" customWidth="1"/>
    <col min="3603" max="3603" width="4.44140625" style="2" customWidth="1"/>
    <col min="3604" max="3604" width="15" style="2" customWidth="1"/>
    <col min="3605" max="3605" width="8.88671875" style="2"/>
    <col min="3606" max="3606" width="10.33203125" style="2" bestFit="1" customWidth="1"/>
    <col min="3607" max="3841" width="8.88671875" style="2"/>
    <col min="3842" max="3842" width="10.109375" style="2" bestFit="1" customWidth="1"/>
    <col min="3843" max="3843" width="2.6640625" style="2" customWidth="1"/>
    <col min="3844" max="3844" width="11.88671875" style="2" customWidth="1"/>
    <col min="3845" max="3845" width="10.6640625" style="2" customWidth="1"/>
    <col min="3846" max="3846" width="11.33203125" style="2" customWidth="1"/>
    <col min="3847" max="3849" width="10.6640625" style="2" customWidth="1"/>
    <col min="3850" max="3850" width="11.88671875" style="2" customWidth="1"/>
    <col min="3851" max="3851" width="11.33203125" style="2" customWidth="1"/>
    <col min="3852" max="3852" width="12.33203125" style="2" customWidth="1"/>
    <col min="3853" max="3853" width="13.44140625" style="2" bestFit="1" customWidth="1"/>
    <col min="3854" max="3854" width="4.109375" style="2" customWidth="1"/>
    <col min="3855" max="3855" width="13.88671875" style="2" customWidth="1"/>
    <col min="3856" max="3856" width="12.33203125" style="2" customWidth="1"/>
    <col min="3857" max="3857" width="12.44140625" style="2" customWidth="1"/>
    <col min="3858" max="3858" width="13.5546875" style="2" bestFit="1" customWidth="1"/>
    <col min="3859" max="3859" width="4.44140625" style="2" customWidth="1"/>
    <col min="3860" max="3860" width="15" style="2" customWidth="1"/>
    <col min="3861" max="3861" width="8.88671875" style="2"/>
    <col min="3862" max="3862" width="10.33203125" style="2" bestFit="1" customWidth="1"/>
    <col min="3863" max="4097" width="8.88671875" style="2"/>
    <col min="4098" max="4098" width="10.109375" style="2" bestFit="1" customWidth="1"/>
    <col min="4099" max="4099" width="2.6640625" style="2" customWidth="1"/>
    <col min="4100" max="4100" width="11.88671875" style="2" customWidth="1"/>
    <col min="4101" max="4101" width="10.6640625" style="2" customWidth="1"/>
    <col min="4102" max="4102" width="11.33203125" style="2" customWidth="1"/>
    <col min="4103" max="4105" width="10.6640625" style="2" customWidth="1"/>
    <col min="4106" max="4106" width="11.88671875" style="2" customWidth="1"/>
    <col min="4107" max="4107" width="11.33203125" style="2" customWidth="1"/>
    <col min="4108" max="4108" width="12.33203125" style="2" customWidth="1"/>
    <col min="4109" max="4109" width="13.44140625" style="2" bestFit="1" customWidth="1"/>
    <col min="4110" max="4110" width="4.109375" style="2" customWidth="1"/>
    <col min="4111" max="4111" width="13.88671875" style="2" customWidth="1"/>
    <col min="4112" max="4112" width="12.33203125" style="2" customWidth="1"/>
    <col min="4113" max="4113" width="12.44140625" style="2" customWidth="1"/>
    <col min="4114" max="4114" width="13.5546875" style="2" bestFit="1" customWidth="1"/>
    <col min="4115" max="4115" width="4.44140625" style="2" customWidth="1"/>
    <col min="4116" max="4116" width="15" style="2" customWidth="1"/>
    <col min="4117" max="4117" width="8.88671875" style="2"/>
    <col min="4118" max="4118" width="10.33203125" style="2" bestFit="1" customWidth="1"/>
    <col min="4119" max="4353" width="8.88671875" style="2"/>
    <col min="4354" max="4354" width="10.109375" style="2" bestFit="1" customWidth="1"/>
    <col min="4355" max="4355" width="2.6640625" style="2" customWidth="1"/>
    <col min="4356" max="4356" width="11.88671875" style="2" customWidth="1"/>
    <col min="4357" max="4357" width="10.6640625" style="2" customWidth="1"/>
    <col min="4358" max="4358" width="11.33203125" style="2" customWidth="1"/>
    <col min="4359" max="4361" width="10.6640625" style="2" customWidth="1"/>
    <col min="4362" max="4362" width="11.88671875" style="2" customWidth="1"/>
    <col min="4363" max="4363" width="11.33203125" style="2" customWidth="1"/>
    <col min="4364" max="4364" width="12.33203125" style="2" customWidth="1"/>
    <col min="4365" max="4365" width="13.44140625" style="2" bestFit="1" customWidth="1"/>
    <col min="4366" max="4366" width="4.109375" style="2" customWidth="1"/>
    <col min="4367" max="4367" width="13.88671875" style="2" customWidth="1"/>
    <col min="4368" max="4368" width="12.33203125" style="2" customWidth="1"/>
    <col min="4369" max="4369" width="12.44140625" style="2" customWidth="1"/>
    <col min="4370" max="4370" width="13.5546875" style="2" bestFit="1" customWidth="1"/>
    <col min="4371" max="4371" width="4.44140625" style="2" customWidth="1"/>
    <col min="4372" max="4372" width="15" style="2" customWidth="1"/>
    <col min="4373" max="4373" width="8.88671875" style="2"/>
    <col min="4374" max="4374" width="10.33203125" style="2" bestFit="1" customWidth="1"/>
    <col min="4375" max="4609" width="8.88671875" style="2"/>
    <col min="4610" max="4610" width="10.109375" style="2" bestFit="1" customWidth="1"/>
    <col min="4611" max="4611" width="2.6640625" style="2" customWidth="1"/>
    <col min="4612" max="4612" width="11.88671875" style="2" customWidth="1"/>
    <col min="4613" max="4613" width="10.6640625" style="2" customWidth="1"/>
    <col min="4614" max="4614" width="11.33203125" style="2" customWidth="1"/>
    <col min="4615" max="4617" width="10.6640625" style="2" customWidth="1"/>
    <col min="4618" max="4618" width="11.88671875" style="2" customWidth="1"/>
    <col min="4619" max="4619" width="11.33203125" style="2" customWidth="1"/>
    <col min="4620" max="4620" width="12.33203125" style="2" customWidth="1"/>
    <col min="4621" max="4621" width="13.44140625" style="2" bestFit="1" customWidth="1"/>
    <col min="4622" max="4622" width="4.109375" style="2" customWidth="1"/>
    <col min="4623" max="4623" width="13.88671875" style="2" customWidth="1"/>
    <col min="4624" max="4624" width="12.33203125" style="2" customWidth="1"/>
    <col min="4625" max="4625" width="12.44140625" style="2" customWidth="1"/>
    <col min="4626" max="4626" width="13.5546875" style="2" bestFit="1" customWidth="1"/>
    <col min="4627" max="4627" width="4.44140625" style="2" customWidth="1"/>
    <col min="4628" max="4628" width="15" style="2" customWidth="1"/>
    <col min="4629" max="4629" width="8.88671875" style="2"/>
    <col min="4630" max="4630" width="10.33203125" style="2" bestFit="1" customWidth="1"/>
    <col min="4631" max="4865" width="8.88671875" style="2"/>
    <col min="4866" max="4866" width="10.109375" style="2" bestFit="1" customWidth="1"/>
    <col min="4867" max="4867" width="2.6640625" style="2" customWidth="1"/>
    <col min="4868" max="4868" width="11.88671875" style="2" customWidth="1"/>
    <col min="4869" max="4869" width="10.6640625" style="2" customWidth="1"/>
    <col min="4870" max="4870" width="11.33203125" style="2" customWidth="1"/>
    <col min="4871" max="4873" width="10.6640625" style="2" customWidth="1"/>
    <col min="4874" max="4874" width="11.88671875" style="2" customWidth="1"/>
    <col min="4875" max="4875" width="11.33203125" style="2" customWidth="1"/>
    <col min="4876" max="4876" width="12.33203125" style="2" customWidth="1"/>
    <col min="4877" max="4877" width="13.44140625" style="2" bestFit="1" customWidth="1"/>
    <col min="4878" max="4878" width="4.109375" style="2" customWidth="1"/>
    <col min="4879" max="4879" width="13.88671875" style="2" customWidth="1"/>
    <col min="4880" max="4880" width="12.33203125" style="2" customWidth="1"/>
    <col min="4881" max="4881" width="12.44140625" style="2" customWidth="1"/>
    <col min="4882" max="4882" width="13.5546875" style="2" bestFit="1" customWidth="1"/>
    <col min="4883" max="4883" width="4.44140625" style="2" customWidth="1"/>
    <col min="4884" max="4884" width="15" style="2" customWidth="1"/>
    <col min="4885" max="4885" width="8.88671875" style="2"/>
    <col min="4886" max="4886" width="10.33203125" style="2" bestFit="1" customWidth="1"/>
    <col min="4887" max="5121" width="8.88671875" style="2"/>
    <col min="5122" max="5122" width="10.109375" style="2" bestFit="1" customWidth="1"/>
    <col min="5123" max="5123" width="2.6640625" style="2" customWidth="1"/>
    <col min="5124" max="5124" width="11.88671875" style="2" customWidth="1"/>
    <col min="5125" max="5125" width="10.6640625" style="2" customWidth="1"/>
    <col min="5126" max="5126" width="11.33203125" style="2" customWidth="1"/>
    <col min="5127" max="5129" width="10.6640625" style="2" customWidth="1"/>
    <col min="5130" max="5130" width="11.88671875" style="2" customWidth="1"/>
    <col min="5131" max="5131" width="11.33203125" style="2" customWidth="1"/>
    <col min="5132" max="5132" width="12.33203125" style="2" customWidth="1"/>
    <col min="5133" max="5133" width="13.44140625" style="2" bestFit="1" customWidth="1"/>
    <col min="5134" max="5134" width="4.109375" style="2" customWidth="1"/>
    <col min="5135" max="5135" width="13.88671875" style="2" customWidth="1"/>
    <col min="5136" max="5136" width="12.33203125" style="2" customWidth="1"/>
    <col min="5137" max="5137" width="12.44140625" style="2" customWidth="1"/>
    <col min="5138" max="5138" width="13.5546875" style="2" bestFit="1" customWidth="1"/>
    <col min="5139" max="5139" width="4.44140625" style="2" customWidth="1"/>
    <col min="5140" max="5140" width="15" style="2" customWidth="1"/>
    <col min="5141" max="5141" width="8.88671875" style="2"/>
    <col min="5142" max="5142" width="10.33203125" style="2" bestFit="1" customWidth="1"/>
    <col min="5143" max="5377" width="8.88671875" style="2"/>
    <col min="5378" max="5378" width="10.109375" style="2" bestFit="1" customWidth="1"/>
    <col min="5379" max="5379" width="2.6640625" style="2" customWidth="1"/>
    <col min="5380" max="5380" width="11.88671875" style="2" customWidth="1"/>
    <col min="5381" max="5381" width="10.6640625" style="2" customWidth="1"/>
    <col min="5382" max="5382" width="11.33203125" style="2" customWidth="1"/>
    <col min="5383" max="5385" width="10.6640625" style="2" customWidth="1"/>
    <col min="5386" max="5386" width="11.88671875" style="2" customWidth="1"/>
    <col min="5387" max="5387" width="11.33203125" style="2" customWidth="1"/>
    <col min="5388" max="5388" width="12.33203125" style="2" customWidth="1"/>
    <col min="5389" max="5389" width="13.44140625" style="2" bestFit="1" customWidth="1"/>
    <col min="5390" max="5390" width="4.109375" style="2" customWidth="1"/>
    <col min="5391" max="5391" width="13.88671875" style="2" customWidth="1"/>
    <col min="5392" max="5392" width="12.33203125" style="2" customWidth="1"/>
    <col min="5393" max="5393" width="12.44140625" style="2" customWidth="1"/>
    <col min="5394" max="5394" width="13.5546875" style="2" bestFit="1" customWidth="1"/>
    <col min="5395" max="5395" width="4.44140625" style="2" customWidth="1"/>
    <col min="5396" max="5396" width="15" style="2" customWidth="1"/>
    <col min="5397" max="5397" width="8.88671875" style="2"/>
    <col min="5398" max="5398" width="10.33203125" style="2" bestFit="1" customWidth="1"/>
    <col min="5399" max="5633" width="8.88671875" style="2"/>
    <col min="5634" max="5634" width="10.109375" style="2" bestFit="1" customWidth="1"/>
    <col min="5635" max="5635" width="2.6640625" style="2" customWidth="1"/>
    <col min="5636" max="5636" width="11.88671875" style="2" customWidth="1"/>
    <col min="5637" max="5637" width="10.6640625" style="2" customWidth="1"/>
    <col min="5638" max="5638" width="11.33203125" style="2" customWidth="1"/>
    <col min="5639" max="5641" width="10.6640625" style="2" customWidth="1"/>
    <col min="5642" max="5642" width="11.88671875" style="2" customWidth="1"/>
    <col min="5643" max="5643" width="11.33203125" style="2" customWidth="1"/>
    <col min="5644" max="5644" width="12.33203125" style="2" customWidth="1"/>
    <col min="5645" max="5645" width="13.44140625" style="2" bestFit="1" customWidth="1"/>
    <col min="5646" max="5646" width="4.109375" style="2" customWidth="1"/>
    <col min="5647" max="5647" width="13.88671875" style="2" customWidth="1"/>
    <col min="5648" max="5648" width="12.33203125" style="2" customWidth="1"/>
    <col min="5649" max="5649" width="12.44140625" style="2" customWidth="1"/>
    <col min="5650" max="5650" width="13.5546875" style="2" bestFit="1" customWidth="1"/>
    <col min="5651" max="5651" width="4.44140625" style="2" customWidth="1"/>
    <col min="5652" max="5652" width="15" style="2" customWidth="1"/>
    <col min="5653" max="5653" width="8.88671875" style="2"/>
    <col min="5654" max="5654" width="10.33203125" style="2" bestFit="1" customWidth="1"/>
    <col min="5655" max="5889" width="8.88671875" style="2"/>
    <col min="5890" max="5890" width="10.109375" style="2" bestFit="1" customWidth="1"/>
    <col min="5891" max="5891" width="2.6640625" style="2" customWidth="1"/>
    <col min="5892" max="5892" width="11.88671875" style="2" customWidth="1"/>
    <col min="5893" max="5893" width="10.6640625" style="2" customWidth="1"/>
    <col min="5894" max="5894" width="11.33203125" style="2" customWidth="1"/>
    <col min="5895" max="5897" width="10.6640625" style="2" customWidth="1"/>
    <col min="5898" max="5898" width="11.88671875" style="2" customWidth="1"/>
    <col min="5899" max="5899" width="11.33203125" style="2" customWidth="1"/>
    <col min="5900" max="5900" width="12.33203125" style="2" customWidth="1"/>
    <col min="5901" max="5901" width="13.44140625" style="2" bestFit="1" customWidth="1"/>
    <col min="5902" max="5902" width="4.109375" style="2" customWidth="1"/>
    <col min="5903" max="5903" width="13.88671875" style="2" customWidth="1"/>
    <col min="5904" max="5904" width="12.33203125" style="2" customWidth="1"/>
    <col min="5905" max="5905" width="12.44140625" style="2" customWidth="1"/>
    <col min="5906" max="5906" width="13.5546875" style="2" bestFit="1" customWidth="1"/>
    <col min="5907" max="5907" width="4.44140625" style="2" customWidth="1"/>
    <col min="5908" max="5908" width="15" style="2" customWidth="1"/>
    <col min="5909" max="5909" width="8.88671875" style="2"/>
    <col min="5910" max="5910" width="10.33203125" style="2" bestFit="1" customWidth="1"/>
    <col min="5911" max="6145" width="8.88671875" style="2"/>
    <col min="6146" max="6146" width="10.109375" style="2" bestFit="1" customWidth="1"/>
    <col min="6147" max="6147" width="2.6640625" style="2" customWidth="1"/>
    <col min="6148" max="6148" width="11.88671875" style="2" customWidth="1"/>
    <col min="6149" max="6149" width="10.6640625" style="2" customWidth="1"/>
    <col min="6150" max="6150" width="11.33203125" style="2" customWidth="1"/>
    <col min="6151" max="6153" width="10.6640625" style="2" customWidth="1"/>
    <col min="6154" max="6154" width="11.88671875" style="2" customWidth="1"/>
    <col min="6155" max="6155" width="11.33203125" style="2" customWidth="1"/>
    <col min="6156" max="6156" width="12.33203125" style="2" customWidth="1"/>
    <col min="6157" max="6157" width="13.44140625" style="2" bestFit="1" customWidth="1"/>
    <col min="6158" max="6158" width="4.109375" style="2" customWidth="1"/>
    <col min="6159" max="6159" width="13.88671875" style="2" customWidth="1"/>
    <col min="6160" max="6160" width="12.33203125" style="2" customWidth="1"/>
    <col min="6161" max="6161" width="12.44140625" style="2" customWidth="1"/>
    <col min="6162" max="6162" width="13.5546875" style="2" bestFit="1" customWidth="1"/>
    <col min="6163" max="6163" width="4.44140625" style="2" customWidth="1"/>
    <col min="6164" max="6164" width="15" style="2" customWidth="1"/>
    <col min="6165" max="6165" width="8.88671875" style="2"/>
    <col min="6166" max="6166" width="10.33203125" style="2" bestFit="1" customWidth="1"/>
    <col min="6167" max="6401" width="8.88671875" style="2"/>
    <col min="6402" max="6402" width="10.109375" style="2" bestFit="1" customWidth="1"/>
    <col min="6403" max="6403" width="2.6640625" style="2" customWidth="1"/>
    <col min="6404" max="6404" width="11.88671875" style="2" customWidth="1"/>
    <col min="6405" max="6405" width="10.6640625" style="2" customWidth="1"/>
    <col min="6406" max="6406" width="11.33203125" style="2" customWidth="1"/>
    <col min="6407" max="6409" width="10.6640625" style="2" customWidth="1"/>
    <col min="6410" max="6410" width="11.88671875" style="2" customWidth="1"/>
    <col min="6411" max="6411" width="11.33203125" style="2" customWidth="1"/>
    <col min="6412" max="6412" width="12.33203125" style="2" customWidth="1"/>
    <col min="6413" max="6413" width="13.44140625" style="2" bestFit="1" customWidth="1"/>
    <col min="6414" max="6414" width="4.109375" style="2" customWidth="1"/>
    <col min="6415" max="6415" width="13.88671875" style="2" customWidth="1"/>
    <col min="6416" max="6416" width="12.33203125" style="2" customWidth="1"/>
    <col min="6417" max="6417" width="12.44140625" style="2" customWidth="1"/>
    <col min="6418" max="6418" width="13.5546875" style="2" bestFit="1" customWidth="1"/>
    <col min="6419" max="6419" width="4.44140625" style="2" customWidth="1"/>
    <col min="6420" max="6420" width="15" style="2" customWidth="1"/>
    <col min="6421" max="6421" width="8.88671875" style="2"/>
    <col min="6422" max="6422" width="10.33203125" style="2" bestFit="1" customWidth="1"/>
    <col min="6423" max="6657" width="8.88671875" style="2"/>
    <col min="6658" max="6658" width="10.109375" style="2" bestFit="1" customWidth="1"/>
    <col min="6659" max="6659" width="2.6640625" style="2" customWidth="1"/>
    <col min="6660" max="6660" width="11.88671875" style="2" customWidth="1"/>
    <col min="6661" max="6661" width="10.6640625" style="2" customWidth="1"/>
    <col min="6662" max="6662" width="11.33203125" style="2" customWidth="1"/>
    <col min="6663" max="6665" width="10.6640625" style="2" customWidth="1"/>
    <col min="6666" max="6666" width="11.88671875" style="2" customWidth="1"/>
    <col min="6667" max="6667" width="11.33203125" style="2" customWidth="1"/>
    <col min="6668" max="6668" width="12.33203125" style="2" customWidth="1"/>
    <col min="6669" max="6669" width="13.44140625" style="2" bestFit="1" customWidth="1"/>
    <col min="6670" max="6670" width="4.109375" style="2" customWidth="1"/>
    <col min="6671" max="6671" width="13.88671875" style="2" customWidth="1"/>
    <col min="6672" max="6672" width="12.33203125" style="2" customWidth="1"/>
    <col min="6673" max="6673" width="12.44140625" style="2" customWidth="1"/>
    <col min="6674" max="6674" width="13.5546875" style="2" bestFit="1" customWidth="1"/>
    <col min="6675" max="6675" width="4.44140625" style="2" customWidth="1"/>
    <col min="6676" max="6676" width="15" style="2" customWidth="1"/>
    <col min="6677" max="6677" width="8.88671875" style="2"/>
    <col min="6678" max="6678" width="10.33203125" style="2" bestFit="1" customWidth="1"/>
    <col min="6679" max="6913" width="8.88671875" style="2"/>
    <col min="6914" max="6914" width="10.109375" style="2" bestFit="1" customWidth="1"/>
    <col min="6915" max="6915" width="2.6640625" style="2" customWidth="1"/>
    <col min="6916" max="6916" width="11.88671875" style="2" customWidth="1"/>
    <col min="6917" max="6917" width="10.6640625" style="2" customWidth="1"/>
    <col min="6918" max="6918" width="11.33203125" style="2" customWidth="1"/>
    <col min="6919" max="6921" width="10.6640625" style="2" customWidth="1"/>
    <col min="6922" max="6922" width="11.88671875" style="2" customWidth="1"/>
    <col min="6923" max="6923" width="11.33203125" style="2" customWidth="1"/>
    <col min="6924" max="6924" width="12.33203125" style="2" customWidth="1"/>
    <col min="6925" max="6925" width="13.44140625" style="2" bestFit="1" customWidth="1"/>
    <col min="6926" max="6926" width="4.109375" style="2" customWidth="1"/>
    <col min="6927" max="6927" width="13.88671875" style="2" customWidth="1"/>
    <col min="6928" max="6928" width="12.33203125" style="2" customWidth="1"/>
    <col min="6929" max="6929" width="12.44140625" style="2" customWidth="1"/>
    <col min="6930" max="6930" width="13.5546875" style="2" bestFit="1" customWidth="1"/>
    <col min="6931" max="6931" width="4.44140625" style="2" customWidth="1"/>
    <col min="6932" max="6932" width="15" style="2" customWidth="1"/>
    <col min="6933" max="6933" width="8.88671875" style="2"/>
    <col min="6934" max="6934" width="10.33203125" style="2" bestFit="1" customWidth="1"/>
    <col min="6935" max="7169" width="8.88671875" style="2"/>
    <col min="7170" max="7170" width="10.109375" style="2" bestFit="1" customWidth="1"/>
    <col min="7171" max="7171" width="2.6640625" style="2" customWidth="1"/>
    <col min="7172" max="7172" width="11.88671875" style="2" customWidth="1"/>
    <col min="7173" max="7173" width="10.6640625" style="2" customWidth="1"/>
    <col min="7174" max="7174" width="11.33203125" style="2" customWidth="1"/>
    <col min="7175" max="7177" width="10.6640625" style="2" customWidth="1"/>
    <col min="7178" max="7178" width="11.88671875" style="2" customWidth="1"/>
    <col min="7179" max="7179" width="11.33203125" style="2" customWidth="1"/>
    <col min="7180" max="7180" width="12.33203125" style="2" customWidth="1"/>
    <col min="7181" max="7181" width="13.44140625" style="2" bestFit="1" customWidth="1"/>
    <col min="7182" max="7182" width="4.109375" style="2" customWidth="1"/>
    <col min="7183" max="7183" width="13.88671875" style="2" customWidth="1"/>
    <col min="7184" max="7184" width="12.33203125" style="2" customWidth="1"/>
    <col min="7185" max="7185" width="12.44140625" style="2" customWidth="1"/>
    <col min="7186" max="7186" width="13.5546875" style="2" bestFit="1" customWidth="1"/>
    <col min="7187" max="7187" width="4.44140625" style="2" customWidth="1"/>
    <col min="7188" max="7188" width="15" style="2" customWidth="1"/>
    <col min="7189" max="7189" width="8.88671875" style="2"/>
    <col min="7190" max="7190" width="10.33203125" style="2" bestFit="1" customWidth="1"/>
    <col min="7191" max="7425" width="8.88671875" style="2"/>
    <col min="7426" max="7426" width="10.109375" style="2" bestFit="1" customWidth="1"/>
    <col min="7427" max="7427" width="2.6640625" style="2" customWidth="1"/>
    <col min="7428" max="7428" width="11.88671875" style="2" customWidth="1"/>
    <col min="7429" max="7429" width="10.6640625" style="2" customWidth="1"/>
    <col min="7430" max="7430" width="11.33203125" style="2" customWidth="1"/>
    <col min="7431" max="7433" width="10.6640625" style="2" customWidth="1"/>
    <col min="7434" max="7434" width="11.88671875" style="2" customWidth="1"/>
    <col min="7435" max="7435" width="11.33203125" style="2" customWidth="1"/>
    <col min="7436" max="7436" width="12.33203125" style="2" customWidth="1"/>
    <col min="7437" max="7437" width="13.44140625" style="2" bestFit="1" customWidth="1"/>
    <col min="7438" max="7438" width="4.109375" style="2" customWidth="1"/>
    <col min="7439" max="7439" width="13.88671875" style="2" customWidth="1"/>
    <col min="7440" max="7440" width="12.33203125" style="2" customWidth="1"/>
    <col min="7441" max="7441" width="12.44140625" style="2" customWidth="1"/>
    <col min="7442" max="7442" width="13.5546875" style="2" bestFit="1" customWidth="1"/>
    <col min="7443" max="7443" width="4.44140625" style="2" customWidth="1"/>
    <col min="7444" max="7444" width="15" style="2" customWidth="1"/>
    <col min="7445" max="7445" width="8.88671875" style="2"/>
    <col min="7446" max="7446" width="10.33203125" style="2" bestFit="1" customWidth="1"/>
    <col min="7447" max="7681" width="8.88671875" style="2"/>
    <col min="7682" max="7682" width="10.109375" style="2" bestFit="1" customWidth="1"/>
    <col min="7683" max="7683" width="2.6640625" style="2" customWidth="1"/>
    <col min="7684" max="7684" width="11.88671875" style="2" customWidth="1"/>
    <col min="7685" max="7685" width="10.6640625" style="2" customWidth="1"/>
    <col min="7686" max="7686" width="11.33203125" style="2" customWidth="1"/>
    <col min="7687" max="7689" width="10.6640625" style="2" customWidth="1"/>
    <col min="7690" max="7690" width="11.88671875" style="2" customWidth="1"/>
    <col min="7691" max="7691" width="11.33203125" style="2" customWidth="1"/>
    <col min="7692" max="7692" width="12.33203125" style="2" customWidth="1"/>
    <col min="7693" max="7693" width="13.44140625" style="2" bestFit="1" customWidth="1"/>
    <col min="7694" max="7694" width="4.109375" style="2" customWidth="1"/>
    <col min="7695" max="7695" width="13.88671875" style="2" customWidth="1"/>
    <col min="7696" max="7696" width="12.33203125" style="2" customWidth="1"/>
    <col min="7697" max="7697" width="12.44140625" style="2" customWidth="1"/>
    <col min="7698" max="7698" width="13.5546875" style="2" bestFit="1" customWidth="1"/>
    <col min="7699" max="7699" width="4.44140625" style="2" customWidth="1"/>
    <col min="7700" max="7700" width="15" style="2" customWidth="1"/>
    <col min="7701" max="7701" width="8.88671875" style="2"/>
    <col min="7702" max="7702" width="10.33203125" style="2" bestFit="1" customWidth="1"/>
    <col min="7703" max="7937" width="8.88671875" style="2"/>
    <col min="7938" max="7938" width="10.109375" style="2" bestFit="1" customWidth="1"/>
    <col min="7939" max="7939" width="2.6640625" style="2" customWidth="1"/>
    <col min="7940" max="7940" width="11.88671875" style="2" customWidth="1"/>
    <col min="7941" max="7941" width="10.6640625" style="2" customWidth="1"/>
    <col min="7942" max="7942" width="11.33203125" style="2" customWidth="1"/>
    <col min="7943" max="7945" width="10.6640625" style="2" customWidth="1"/>
    <col min="7946" max="7946" width="11.88671875" style="2" customWidth="1"/>
    <col min="7947" max="7947" width="11.33203125" style="2" customWidth="1"/>
    <col min="7948" max="7948" width="12.33203125" style="2" customWidth="1"/>
    <col min="7949" max="7949" width="13.44140625" style="2" bestFit="1" customWidth="1"/>
    <col min="7950" max="7950" width="4.109375" style="2" customWidth="1"/>
    <col min="7951" max="7951" width="13.88671875" style="2" customWidth="1"/>
    <col min="7952" max="7952" width="12.33203125" style="2" customWidth="1"/>
    <col min="7953" max="7953" width="12.44140625" style="2" customWidth="1"/>
    <col min="7954" max="7954" width="13.5546875" style="2" bestFit="1" customWidth="1"/>
    <col min="7955" max="7955" width="4.44140625" style="2" customWidth="1"/>
    <col min="7956" max="7956" width="15" style="2" customWidth="1"/>
    <col min="7957" max="7957" width="8.88671875" style="2"/>
    <col min="7958" max="7958" width="10.33203125" style="2" bestFit="1" customWidth="1"/>
    <col min="7959" max="8193" width="8.88671875" style="2"/>
    <col min="8194" max="8194" width="10.109375" style="2" bestFit="1" customWidth="1"/>
    <col min="8195" max="8195" width="2.6640625" style="2" customWidth="1"/>
    <col min="8196" max="8196" width="11.88671875" style="2" customWidth="1"/>
    <col min="8197" max="8197" width="10.6640625" style="2" customWidth="1"/>
    <col min="8198" max="8198" width="11.33203125" style="2" customWidth="1"/>
    <col min="8199" max="8201" width="10.6640625" style="2" customWidth="1"/>
    <col min="8202" max="8202" width="11.88671875" style="2" customWidth="1"/>
    <col min="8203" max="8203" width="11.33203125" style="2" customWidth="1"/>
    <col min="8204" max="8204" width="12.33203125" style="2" customWidth="1"/>
    <col min="8205" max="8205" width="13.44140625" style="2" bestFit="1" customWidth="1"/>
    <col min="8206" max="8206" width="4.109375" style="2" customWidth="1"/>
    <col min="8207" max="8207" width="13.88671875" style="2" customWidth="1"/>
    <col min="8208" max="8208" width="12.33203125" style="2" customWidth="1"/>
    <col min="8209" max="8209" width="12.44140625" style="2" customWidth="1"/>
    <col min="8210" max="8210" width="13.5546875" style="2" bestFit="1" customWidth="1"/>
    <col min="8211" max="8211" width="4.44140625" style="2" customWidth="1"/>
    <col min="8212" max="8212" width="15" style="2" customWidth="1"/>
    <col min="8213" max="8213" width="8.88671875" style="2"/>
    <col min="8214" max="8214" width="10.33203125" style="2" bestFit="1" customWidth="1"/>
    <col min="8215" max="8449" width="8.88671875" style="2"/>
    <col min="8450" max="8450" width="10.109375" style="2" bestFit="1" customWidth="1"/>
    <col min="8451" max="8451" width="2.6640625" style="2" customWidth="1"/>
    <col min="8452" max="8452" width="11.88671875" style="2" customWidth="1"/>
    <col min="8453" max="8453" width="10.6640625" style="2" customWidth="1"/>
    <col min="8454" max="8454" width="11.33203125" style="2" customWidth="1"/>
    <col min="8455" max="8457" width="10.6640625" style="2" customWidth="1"/>
    <col min="8458" max="8458" width="11.88671875" style="2" customWidth="1"/>
    <col min="8459" max="8459" width="11.33203125" style="2" customWidth="1"/>
    <col min="8460" max="8460" width="12.33203125" style="2" customWidth="1"/>
    <col min="8461" max="8461" width="13.44140625" style="2" bestFit="1" customWidth="1"/>
    <col min="8462" max="8462" width="4.109375" style="2" customWidth="1"/>
    <col min="8463" max="8463" width="13.88671875" style="2" customWidth="1"/>
    <col min="8464" max="8464" width="12.33203125" style="2" customWidth="1"/>
    <col min="8465" max="8465" width="12.44140625" style="2" customWidth="1"/>
    <col min="8466" max="8466" width="13.5546875" style="2" bestFit="1" customWidth="1"/>
    <col min="8467" max="8467" width="4.44140625" style="2" customWidth="1"/>
    <col min="8468" max="8468" width="15" style="2" customWidth="1"/>
    <col min="8469" max="8469" width="8.88671875" style="2"/>
    <col min="8470" max="8470" width="10.33203125" style="2" bestFit="1" customWidth="1"/>
    <col min="8471" max="8705" width="8.88671875" style="2"/>
    <col min="8706" max="8706" width="10.109375" style="2" bestFit="1" customWidth="1"/>
    <col min="8707" max="8707" width="2.6640625" style="2" customWidth="1"/>
    <col min="8708" max="8708" width="11.88671875" style="2" customWidth="1"/>
    <col min="8709" max="8709" width="10.6640625" style="2" customWidth="1"/>
    <col min="8710" max="8710" width="11.33203125" style="2" customWidth="1"/>
    <col min="8711" max="8713" width="10.6640625" style="2" customWidth="1"/>
    <col min="8714" max="8714" width="11.88671875" style="2" customWidth="1"/>
    <col min="8715" max="8715" width="11.33203125" style="2" customWidth="1"/>
    <col min="8716" max="8716" width="12.33203125" style="2" customWidth="1"/>
    <col min="8717" max="8717" width="13.44140625" style="2" bestFit="1" customWidth="1"/>
    <col min="8718" max="8718" width="4.109375" style="2" customWidth="1"/>
    <col min="8719" max="8719" width="13.88671875" style="2" customWidth="1"/>
    <col min="8720" max="8720" width="12.33203125" style="2" customWidth="1"/>
    <col min="8721" max="8721" width="12.44140625" style="2" customWidth="1"/>
    <col min="8722" max="8722" width="13.5546875" style="2" bestFit="1" customWidth="1"/>
    <col min="8723" max="8723" width="4.44140625" style="2" customWidth="1"/>
    <col min="8724" max="8724" width="15" style="2" customWidth="1"/>
    <col min="8725" max="8725" width="8.88671875" style="2"/>
    <col min="8726" max="8726" width="10.33203125" style="2" bestFit="1" customWidth="1"/>
    <col min="8727" max="8961" width="8.88671875" style="2"/>
    <col min="8962" max="8962" width="10.109375" style="2" bestFit="1" customWidth="1"/>
    <col min="8963" max="8963" width="2.6640625" style="2" customWidth="1"/>
    <col min="8964" max="8964" width="11.88671875" style="2" customWidth="1"/>
    <col min="8965" max="8965" width="10.6640625" style="2" customWidth="1"/>
    <col min="8966" max="8966" width="11.33203125" style="2" customWidth="1"/>
    <col min="8967" max="8969" width="10.6640625" style="2" customWidth="1"/>
    <col min="8970" max="8970" width="11.88671875" style="2" customWidth="1"/>
    <col min="8971" max="8971" width="11.33203125" style="2" customWidth="1"/>
    <col min="8972" max="8972" width="12.33203125" style="2" customWidth="1"/>
    <col min="8973" max="8973" width="13.44140625" style="2" bestFit="1" customWidth="1"/>
    <col min="8974" max="8974" width="4.109375" style="2" customWidth="1"/>
    <col min="8975" max="8975" width="13.88671875" style="2" customWidth="1"/>
    <col min="8976" max="8976" width="12.33203125" style="2" customWidth="1"/>
    <col min="8977" max="8977" width="12.44140625" style="2" customWidth="1"/>
    <col min="8978" max="8978" width="13.5546875" style="2" bestFit="1" customWidth="1"/>
    <col min="8979" max="8979" width="4.44140625" style="2" customWidth="1"/>
    <col min="8980" max="8980" width="15" style="2" customWidth="1"/>
    <col min="8981" max="8981" width="8.88671875" style="2"/>
    <col min="8982" max="8982" width="10.33203125" style="2" bestFit="1" customWidth="1"/>
    <col min="8983" max="9217" width="8.88671875" style="2"/>
    <col min="9218" max="9218" width="10.109375" style="2" bestFit="1" customWidth="1"/>
    <col min="9219" max="9219" width="2.6640625" style="2" customWidth="1"/>
    <col min="9220" max="9220" width="11.88671875" style="2" customWidth="1"/>
    <col min="9221" max="9221" width="10.6640625" style="2" customWidth="1"/>
    <col min="9222" max="9222" width="11.33203125" style="2" customWidth="1"/>
    <col min="9223" max="9225" width="10.6640625" style="2" customWidth="1"/>
    <col min="9226" max="9226" width="11.88671875" style="2" customWidth="1"/>
    <col min="9227" max="9227" width="11.33203125" style="2" customWidth="1"/>
    <col min="9228" max="9228" width="12.33203125" style="2" customWidth="1"/>
    <col min="9229" max="9229" width="13.44140625" style="2" bestFit="1" customWidth="1"/>
    <col min="9230" max="9230" width="4.109375" style="2" customWidth="1"/>
    <col min="9231" max="9231" width="13.88671875" style="2" customWidth="1"/>
    <col min="9232" max="9232" width="12.33203125" style="2" customWidth="1"/>
    <col min="9233" max="9233" width="12.44140625" style="2" customWidth="1"/>
    <col min="9234" max="9234" width="13.5546875" style="2" bestFit="1" customWidth="1"/>
    <col min="9235" max="9235" width="4.44140625" style="2" customWidth="1"/>
    <col min="9236" max="9236" width="15" style="2" customWidth="1"/>
    <col min="9237" max="9237" width="8.88671875" style="2"/>
    <col min="9238" max="9238" width="10.33203125" style="2" bestFit="1" customWidth="1"/>
    <col min="9239" max="9473" width="8.88671875" style="2"/>
    <col min="9474" max="9474" width="10.109375" style="2" bestFit="1" customWidth="1"/>
    <col min="9475" max="9475" width="2.6640625" style="2" customWidth="1"/>
    <col min="9476" max="9476" width="11.88671875" style="2" customWidth="1"/>
    <col min="9477" max="9477" width="10.6640625" style="2" customWidth="1"/>
    <col min="9478" max="9478" width="11.33203125" style="2" customWidth="1"/>
    <col min="9479" max="9481" width="10.6640625" style="2" customWidth="1"/>
    <col min="9482" max="9482" width="11.88671875" style="2" customWidth="1"/>
    <col min="9483" max="9483" width="11.33203125" style="2" customWidth="1"/>
    <col min="9484" max="9484" width="12.33203125" style="2" customWidth="1"/>
    <col min="9485" max="9485" width="13.44140625" style="2" bestFit="1" customWidth="1"/>
    <col min="9486" max="9486" width="4.109375" style="2" customWidth="1"/>
    <col min="9487" max="9487" width="13.88671875" style="2" customWidth="1"/>
    <col min="9488" max="9488" width="12.33203125" style="2" customWidth="1"/>
    <col min="9489" max="9489" width="12.44140625" style="2" customWidth="1"/>
    <col min="9490" max="9490" width="13.5546875" style="2" bestFit="1" customWidth="1"/>
    <col min="9491" max="9491" width="4.44140625" style="2" customWidth="1"/>
    <col min="9492" max="9492" width="15" style="2" customWidth="1"/>
    <col min="9493" max="9493" width="8.88671875" style="2"/>
    <col min="9494" max="9494" width="10.33203125" style="2" bestFit="1" customWidth="1"/>
    <col min="9495" max="9729" width="8.88671875" style="2"/>
    <col min="9730" max="9730" width="10.109375" style="2" bestFit="1" customWidth="1"/>
    <col min="9731" max="9731" width="2.6640625" style="2" customWidth="1"/>
    <col min="9732" max="9732" width="11.88671875" style="2" customWidth="1"/>
    <col min="9733" max="9733" width="10.6640625" style="2" customWidth="1"/>
    <col min="9734" max="9734" width="11.33203125" style="2" customWidth="1"/>
    <col min="9735" max="9737" width="10.6640625" style="2" customWidth="1"/>
    <col min="9738" max="9738" width="11.88671875" style="2" customWidth="1"/>
    <col min="9739" max="9739" width="11.33203125" style="2" customWidth="1"/>
    <col min="9740" max="9740" width="12.33203125" style="2" customWidth="1"/>
    <col min="9741" max="9741" width="13.44140625" style="2" bestFit="1" customWidth="1"/>
    <col min="9742" max="9742" width="4.109375" style="2" customWidth="1"/>
    <col min="9743" max="9743" width="13.88671875" style="2" customWidth="1"/>
    <col min="9744" max="9744" width="12.33203125" style="2" customWidth="1"/>
    <col min="9745" max="9745" width="12.44140625" style="2" customWidth="1"/>
    <col min="9746" max="9746" width="13.5546875" style="2" bestFit="1" customWidth="1"/>
    <col min="9747" max="9747" width="4.44140625" style="2" customWidth="1"/>
    <col min="9748" max="9748" width="15" style="2" customWidth="1"/>
    <col min="9749" max="9749" width="8.88671875" style="2"/>
    <col min="9750" max="9750" width="10.33203125" style="2" bestFit="1" customWidth="1"/>
    <col min="9751" max="9985" width="8.88671875" style="2"/>
    <col min="9986" max="9986" width="10.109375" style="2" bestFit="1" customWidth="1"/>
    <col min="9987" max="9987" width="2.6640625" style="2" customWidth="1"/>
    <col min="9988" max="9988" width="11.88671875" style="2" customWidth="1"/>
    <col min="9989" max="9989" width="10.6640625" style="2" customWidth="1"/>
    <col min="9990" max="9990" width="11.33203125" style="2" customWidth="1"/>
    <col min="9991" max="9993" width="10.6640625" style="2" customWidth="1"/>
    <col min="9994" max="9994" width="11.88671875" style="2" customWidth="1"/>
    <col min="9995" max="9995" width="11.33203125" style="2" customWidth="1"/>
    <col min="9996" max="9996" width="12.33203125" style="2" customWidth="1"/>
    <col min="9997" max="9997" width="13.44140625" style="2" bestFit="1" customWidth="1"/>
    <col min="9998" max="9998" width="4.109375" style="2" customWidth="1"/>
    <col min="9999" max="9999" width="13.88671875" style="2" customWidth="1"/>
    <col min="10000" max="10000" width="12.33203125" style="2" customWidth="1"/>
    <col min="10001" max="10001" width="12.44140625" style="2" customWidth="1"/>
    <col min="10002" max="10002" width="13.5546875" style="2" bestFit="1" customWidth="1"/>
    <col min="10003" max="10003" width="4.44140625" style="2" customWidth="1"/>
    <col min="10004" max="10004" width="15" style="2" customWidth="1"/>
    <col min="10005" max="10005" width="8.88671875" style="2"/>
    <col min="10006" max="10006" width="10.33203125" style="2" bestFit="1" customWidth="1"/>
    <col min="10007" max="10241" width="8.88671875" style="2"/>
    <col min="10242" max="10242" width="10.109375" style="2" bestFit="1" customWidth="1"/>
    <col min="10243" max="10243" width="2.6640625" style="2" customWidth="1"/>
    <col min="10244" max="10244" width="11.88671875" style="2" customWidth="1"/>
    <col min="10245" max="10245" width="10.6640625" style="2" customWidth="1"/>
    <col min="10246" max="10246" width="11.33203125" style="2" customWidth="1"/>
    <col min="10247" max="10249" width="10.6640625" style="2" customWidth="1"/>
    <col min="10250" max="10250" width="11.88671875" style="2" customWidth="1"/>
    <col min="10251" max="10251" width="11.33203125" style="2" customWidth="1"/>
    <col min="10252" max="10252" width="12.33203125" style="2" customWidth="1"/>
    <col min="10253" max="10253" width="13.44140625" style="2" bestFit="1" customWidth="1"/>
    <col min="10254" max="10254" width="4.109375" style="2" customWidth="1"/>
    <col min="10255" max="10255" width="13.88671875" style="2" customWidth="1"/>
    <col min="10256" max="10256" width="12.33203125" style="2" customWidth="1"/>
    <col min="10257" max="10257" width="12.44140625" style="2" customWidth="1"/>
    <col min="10258" max="10258" width="13.5546875" style="2" bestFit="1" customWidth="1"/>
    <col min="10259" max="10259" width="4.44140625" style="2" customWidth="1"/>
    <col min="10260" max="10260" width="15" style="2" customWidth="1"/>
    <col min="10261" max="10261" width="8.88671875" style="2"/>
    <col min="10262" max="10262" width="10.33203125" style="2" bestFit="1" customWidth="1"/>
    <col min="10263" max="10497" width="8.88671875" style="2"/>
    <col min="10498" max="10498" width="10.109375" style="2" bestFit="1" customWidth="1"/>
    <col min="10499" max="10499" width="2.6640625" style="2" customWidth="1"/>
    <col min="10500" max="10500" width="11.88671875" style="2" customWidth="1"/>
    <col min="10501" max="10501" width="10.6640625" style="2" customWidth="1"/>
    <col min="10502" max="10502" width="11.33203125" style="2" customWidth="1"/>
    <col min="10503" max="10505" width="10.6640625" style="2" customWidth="1"/>
    <col min="10506" max="10506" width="11.88671875" style="2" customWidth="1"/>
    <col min="10507" max="10507" width="11.33203125" style="2" customWidth="1"/>
    <col min="10508" max="10508" width="12.33203125" style="2" customWidth="1"/>
    <col min="10509" max="10509" width="13.44140625" style="2" bestFit="1" customWidth="1"/>
    <col min="10510" max="10510" width="4.109375" style="2" customWidth="1"/>
    <col min="10511" max="10511" width="13.88671875" style="2" customWidth="1"/>
    <col min="10512" max="10512" width="12.33203125" style="2" customWidth="1"/>
    <col min="10513" max="10513" width="12.44140625" style="2" customWidth="1"/>
    <col min="10514" max="10514" width="13.5546875" style="2" bestFit="1" customWidth="1"/>
    <col min="10515" max="10515" width="4.44140625" style="2" customWidth="1"/>
    <col min="10516" max="10516" width="15" style="2" customWidth="1"/>
    <col min="10517" max="10517" width="8.88671875" style="2"/>
    <col min="10518" max="10518" width="10.33203125" style="2" bestFit="1" customWidth="1"/>
    <col min="10519" max="10753" width="8.88671875" style="2"/>
    <col min="10754" max="10754" width="10.109375" style="2" bestFit="1" customWidth="1"/>
    <col min="10755" max="10755" width="2.6640625" style="2" customWidth="1"/>
    <col min="10756" max="10756" width="11.88671875" style="2" customWidth="1"/>
    <col min="10757" max="10757" width="10.6640625" style="2" customWidth="1"/>
    <col min="10758" max="10758" width="11.33203125" style="2" customWidth="1"/>
    <col min="10759" max="10761" width="10.6640625" style="2" customWidth="1"/>
    <col min="10762" max="10762" width="11.88671875" style="2" customWidth="1"/>
    <col min="10763" max="10763" width="11.33203125" style="2" customWidth="1"/>
    <col min="10764" max="10764" width="12.33203125" style="2" customWidth="1"/>
    <col min="10765" max="10765" width="13.44140625" style="2" bestFit="1" customWidth="1"/>
    <col min="10766" max="10766" width="4.109375" style="2" customWidth="1"/>
    <col min="10767" max="10767" width="13.88671875" style="2" customWidth="1"/>
    <col min="10768" max="10768" width="12.33203125" style="2" customWidth="1"/>
    <col min="10769" max="10769" width="12.44140625" style="2" customWidth="1"/>
    <col min="10770" max="10770" width="13.5546875" style="2" bestFit="1" customWidth="1"/>
    <col min="10771" max="10771" width="4.44140625" style="2" customWidth="1"/>
    <col min="10772" max="10772" width="15" style="2" customWidth="1"/>
    <col min="10773" max="10773" width="8.88671875" style="2"/>
    <col min="10774" max="10774" width="10.33203125" style="2" bestFit="1" customWidth="1"/>
    <col min="10775" max="11009" width="8.88671875" style="2"/>
    <col min="11010" max="11010" width="10.109375" style="2" bestFit="1" customWidth="1"/>
    <col min="11011" max="11011" width="2.6640625" style="2" customWidth="1"/>
    <col min="11012" max="11012" width="11.88671875" style="2" customWidth="1"/>
    <col min="11013" max="11013" width="10.6640625" style="2" customWidth="1"/>
    <col min="11014" max="11014" width="11.33203125" style="2" customWidth="1"/>
    <col min="11015" max="11017" width="10.6640625" style="2" customWidth="1"/>
    <col min="11018" max="11018" width="11.88671875" style="2" customWidth="1"/>
    <col min="11019" max="11019" width="11.33203125" style="2" customWidth="1"/>
    <col min="11020" max="11020" width="12.33203125" style="2" customWidth="1"/>
    <col min="11021" max="11021" width="13.44140625" style="2" bestFit="1" customWidth="1"/>
    <col min="11022" max="11022" width="4.109375" style="2" customWidth="1"/>
    <col min="11023" max="11023" width="13.88671875" style="2" customWidth="1"/>
    <col min="11024" max="11024" width="12.33203125" style="2" customWidth="1"/>
    <col min="11025" max="11025" width="12.44140625" style="2" customWidth="1"/>
    <col min="11026" max="11026" width="13.5546875" style="2" bestFit="1" customWidth="1"/>
    <col min="11027" max="11027" width="4.44140625" style="2" customWidth="1"/>
    <col min="11028" max="11028" width="15" style="2" customWidth="1"/>
    <col min="11029" max="11029" width="8.88671875" style="2"/>
    <col min="11030" max="11030" width="10.33203125" style="2" bestFit="1" customWidth="1"/>
    <col min="11031" max="11265" width="8.88671875" style="2"/>
    <col min="11266" max="11266" width="10.109375" style="2" bestFit="1" customWidth="1"/>
    <col min="11267" max="11267" width="2.6640625" style="2" customWidth="1"/>
    <col min="11268" max="11268" width="11.88671875" style="2" customWidth="1"/>
    <col min="11269" max="11269" width="10.6640625" style="2" customWidth="1"/>
    <col min="11270" max="11270" width="11.33203125" style="2" customWidth="1"/>
    <col min="11271" max="11273" width="10.6640625" style="2" customWidth="1"/>
    <col min="11274" max="11274" width="11.88671875" style="2" customWidth="1"/>
    <col min="11275" max="11275" width="11.33203125" style="2" customWidth="1"/>
    <col min="11276" max="11276" width="12.33203125" style="2" customWidth="1"/>
    <col min="11277" max="11277" width="13.44140625" style="2" bestFit="1" customWidth="1"/>
    <col min="11278" max="11278" width="4.109375" style="2" customWidth="1"/>
    <col min="11279" max="11279" width="13.88671875" style="2" customWidth="1"/>
    <col min="11280" max="11280" width="12.33203125" style="2" customWidth="1"/>
    <col min="11281" max="11281" width="12.44140625" style="2" customWidth="1"/>
    <col min="11282" max="11282" width="13.5546875" style="2" bestFit="1" customWidth="1"/>
    <col min="11283" max="11283" width="4.44140625" style="2" customWidth="1"/>
    <col min="11284" max="11284" width="15" style="2" customWidth="1"/>
    <col min="11285" max="11285" width="8.88671875" style="2"/>
    <col min="11286" max="11286" width="10.33203125" style="2" bestFit="1" customWidth="1"/>
    <col min="11287" max="11521" width="8.88671875" style="2"/>
    <col min="11522" max="11522" width="10.109375" style="2" bestFit="1" customWidth="1"/>
    <col min="11523" max="11523" width="2.6640625" style="2" customWidth="1"/>
    <col min="11524" max="11524" width="11.88671875" style="2" customWidth="1"/>
    <col min="11525" max="11525" width="10.6640625" style="2" customWidth="1"/>
    <col min="11526" max="11526" width="11.33203125" style="2" customWidth="1"/>
    <col min="11527" max="11529" width="10.6640625" style="2" customWidth="1"/>
    <col min="11530" max="11530" width="11.88671875" style="2" customWidth="1"/>
    <col min="11531" max="11531" width="11.33203125" style="2" customWidth="1"/>
    <col min="11532" max="11532" width="12.33203125" style="2" customWidth="1"/>
    <col min="11533" max="11533" width="13.44140625" style="2" bestFit="1" customWidth="1"/>
    <col min="11534" max="11534" width="4.109375" style="2" customWidth="1"/>
    <col min="11535" max="11535" width="13.88671875" style="2" customWidth="1"/>
    <col min="11536" max="11536" width="12.33203125" style="2" customWidth="1"/>
    <col min="11537" max="11537" width="12.44140625" style="2" customWidth="1"/>
    <col min="11538" max="11538" width="13.5546875" style="2" bestFit="1" customWidth="1"/>
    <col min="11539" max="11539" width="4.44140625" style="2" customWidth="1"/>
    <col min="11540" max="11540" width="15" style="2" customWidth="1"/>
    <col min="11541" max="11541" width="8.88671875" style="2"/>
    <col min="11542" max="11542" width="10.33203125" style="2" bestFit="1" customWidth="1"/>
    <col min="11543" max="11777" width="8.88671875" style="2"/>
    <col min="11778" max="11778" width="10.109375" style="2" bestFit="1" customWidth="1"/>
    <col min="11779" max="11779" width="2.6640625" style="2" customWidth="1"/>
    <col min="11780" max="11780" width="11.88671875" style="2" customWidth="1"/>
    <col min="11781" max="11781" width="10.6640625" style="2" customWidth="1"/>
    <col min="11782" max="11782" width="11.33203125" style="2" customWidth="1"/>
    <col min="11783" max="11785" width="10.6640625" style="2" customWidth="1"/>
    <col min="11786" max="11786" width="11.88671875" style="2" customWidth="1"/>
    <col min="11787" max="11787" width="11.33203125" style="2" customWidth="1"/>
    <col min="11788" max="11788" width="12.33203125" style="2" customWidth="1"/>
    <col min="11789" max="11789" width="13.44140625" style="2" bestFit="1" customWidth="1"/>
    <col min="11790" max="11790" width="4.109375" style="2" customWidth="1"/>
    <col min="11791" max="11791" width="13.88671875" style="2" customWidth="1"/>
    <col min="11792" max="11792" width="12.33203125" style="2" customWidth="1"/>
    <col min="11793" max="11793" width="12.44140625" style="2" customWidth="1"/>
    <col min="11794" max="11794" width="13.5546875" style="2" bestFit="1" customWidth="1"/>
    <col min="11795" max="11795" width="4.44140625" style="2" customWidth="1"/>
    <col min="11796" max="11796" width="15" style="2" customWidth="1"/>
    <col min="11797" max="11797" width="8.88671875" style="2"/>
    <col min="11798" max="11798" width="10.33203125" style="2" bestFit="1" customWidth="1"/>
    <col min="11799" max="12033" width="8.88671875" style="2"/>
    <col min="12034" max="12034" width="10.109375" style="2" bestFit="1" customWidth="1"/>
    <col min="12035" max="12035" width="2.6640625" style="2" customWidth="1"/>
    <col min="12036" max="12036" width="11.88671875" style="2" customWidth="1"/>
    <col min="12037" max="12037" width="10.6640625" style="2" customWidth="1"/>
    <col min="12038" max="12038" width="11.33203125" style="2" customWidth="1"/>
    <col min="12039" max="12041" width="10.6640625" style="2" customWidth="1"/>
    <col min="12042" max="12042" width="11.88671875" style="2" customWidth="1"/>
    <col min="12043" max="12043" width="11.33203125" style="2" customWidth="1"/>
    <col min="12044" max="12044" width="12.33203125" style="2" customWidth="1"/>
    <col min="12045" max="12045" width="13.44140625" style="2" bestFit="1" customWidth="1"/>
    <col min="12046" max="12046" width="4.109375" style="2" customWidth="1"/>
    <col min="12047" max="12047" width="13.88671875" style="2" customWidth="1"/>
    <col min="12048" max="12048" width="12.33203125" style="2" customWidth="1"/>
    <col min="12049" max="12049" width="12.44140625" style="2" customWidth="1"/>
    <col min="12050" max="12050" width="13.5546875" style="2" bestFit="1" customWidth="1"/>
    <col min="12051" max="12051" width="4.44140625" style="2" customWidth="1"/>
    <col min="12052" max="12052" width="15" style="2" customWidth="1"/>
    <col min="12053" max="12053" width="8.88671875" style="2"/>
    <col min="12054" max="12054" width="10.33203125" style="2" bestFit="1" customWidth="1"/>
    <col min="12055" max="12289" width="8.88671875" style="2"/>
    <col min="12290" max="12290" width="10.109375" style="2" bestFit="1" customWidth="1"/>
    <col min="12291" max="12291" width="2.6640625" style="2" customWidth="1"/>
    <col min="12292" max="12292" width="11.88671875" style="2" customWidth="1"/>
    <col min="12293" max="12293" width="10.6640625" style="2" customWidth="1"/>
    <col min="12294" max="12294" width="11.33203125" style="2" customWidth="1"/>
    <col min="12295" max="12297" width="10.6640625" style="2" customWidth="1"/>
    <col min="12298" max="12298" width="11.88671875" style="2" customWidth="1"/>
    <col min="12299" max="12299" width="11.33203125" style="2" customWidth="1"/>
    <col min="12300" max="12300" width="12.33203125" style="2" customWidth="1"/>
    <col min="12301" max="12301" width="13.44140625" style="2" bestFit="1" customWidth="1"/>
    <col min="12302" max="12302" width="4.109375" style="2" customWidth="1"/>
    <col min="12303" max="12303" width="13.88671875" style="2" customWidth="1"/>
    <col min="12304" max="12304" width="12.33203125" style="2" customWidth="1"/>
    <col min="12305" max="12305" width="12.44140625" style="2" customWidth="1"/>
    <col min="12306" max="12306" width="13.5546875" style="2" bestFit="1" customWidth="1"/>
    <col min="12307" max="12307" width="4.44140625" style="2" customWidth="1"/>
    <col min="12308" max="12308" width="15" style="2" customWidth="1"/>
    <col min="12309" max="12309" width="8.88671875" style="2"/>
    <col min="12310" max="12310" width="10.33203125" style="2" bestFit="1" customWidth="1"/>
    <col min="12311" max="12545" width="8.88671875" style="2"/>
    <col min="12546" max="12546" width="10.109375" style="2" bestFit="1" customWidth="1"/>
    <col min="12547" max="12547" width="2.6640625" style="2" customWidth="1"/>
    <col min="12548" max="12548" width="11.88671875" style="2" customWidth="1"/>
    <col min="12549" max="12549" width="10.6640625" style="2" customWidth="1"/>
    <col min="12550" max="12550" width="11.33203125" style="2" customWidth="1"/>
    <col min="12551" max="12553" width="10.6640625" style="2" customWidth="1"/>
    <col min="12554" max="12554" width="11.88671875" style="2" customWidth="1"/>
    <col min="12555" max="12555" width="11.33203125" style="2" customWidth="1"/>
    <col min="12556" max="12556" width="12.33203125" style="2" customWidth="1"/>
    <col min="12557" max="12557" width="13.44140625" style="2" bestFit="1" customWidth="1"/>
    <col min="12558" max="12558" width="4.109375" style="2" customWidth="1"/>
    <col min="12559" max="12559" width="13.88671875" style="2" customWidth="1"/>
    <col min="12560" max="12560" width="12.33203125" style="2" customWidth="1"/>
    <col min="12561" max="12561" width="12.44140625" style="2" customWidth="1"/>
    <col min="12562" max="12562" width="13.5546875" style="2" bestFit="1" customWidth="1"/>
    <col min="12563" max="12563" width="4.44140625" style="2" customWidth="1"/>
    <col min="12564" max="12564" width="15" style="2" customWidth="1"/>
    <col min="12565" max="12565" width="8.88671875" style="2"/>
    <col min="12566" max="12566" width="10.33203125" style="2" bestFit="1" customWidth="1"/>
    <col min="12567" max="12801" width="8.88671875" style="2"/>
    <col min="12802" max="12802" width="10.109375" style="2" bestFit="1" customWidth="1"/>
    <col min="12803" max="12803" width="2.6640625" style="2" customWidth="1"/>
    <col min="12804" max="12804" width="11.88671875" style="2" customWidth="1"/>
    <col min="12805" max="12805" width="10.6640625" style="2" customWidth="1"/>
    <col min="12806" max="12806" width="11.33203125" style="2" customWidth="1"/>
    <col min="12807" max="12809" width="10.6640625" style="2" customWidth="1"/>
    <col min="12810" max="12810" width="11.88671875" style="2" customWidth="1"/>
    <col min="12811" max="12811" width="11.33203125" style="2" customWidth="1"/>
    <col min="12812" max="12812" width="12.33203125" style="2" customWidth="1"/>
    <col min="12813" max="12813" width="13.44140625" style="2" bestFit="1" customWidth="1"/>
    <col min="12814" max="12814" width="4.109375" style="2" customWidth="1"/>
    <col min="12815" max="12815" width="13.88671875" style="2" customWidth="1"/>
    <col min="12816" max="12816" width="12.33203125" style="2" customWidth="1"/>
    <col min="12817" max="12817" width="12.44140625" style="2" customWidth="1"/>
    <col min="12818" max="12818" width="13.5546875" style="2" bestFit="1" customWidth="1"/>
    <col min="12819" max="12819" width="4.44140625" style="2" customWidth="1"/>
    <col min="12820" max="12820" width="15" style="2" customWidth="1"/>
    <col min="12821" max="12821" width="8.88671875" style="2"/>
    <col min="12822" max="12822" width="10.33203125" style="2" bestFit="1" customWidth="1"/>
    <col min="12823" max="13057" width="8.88671875" style="2"/>
    <col min="13058" max="13058" width="10.109375" style="2" bestFit="1" customWidth="1"/>
    <col min="13059" max="13059" width="2.6640625" style="2" customWidth="1"/>
    <col min="13060" max="13060" width="11.88671875" style="2" customWidth="1"/>
    <col min="13061" max="13061" width="10.6640625" style="2" customWidth="1"/>
    <col min="13062" max="13062" width="11.33203125" style="2" customWidth="1"/>
    <col min="13063" max="13065" width="10.6640625" style="2" customWidth="1"/>
    <col min="13066" max="13066" width="11.88671875" style="2" customWidth="1"/>
    <col min="13067" max="13067" width="11.33203125" style="2" customWidth="1"/>
    <col min="13068" max="13068" width="12.33203125" style="2" customWidth="1"/>
    <col min="13069" max="13069" width="13.44140625" style="2" bestFit="1" customWidth="1"/>
    <col min="13070" max="13070" width="4.109375" style="2" customWidth="1"/>
    <col min="13071" max="13071" width="13.88671875" style="2" customWidth="1"/>
    <col min="13072" max="13072" width="12.33203125" style="2" customWidth="1"/>
    <col min="13073" max="13073" width="12.44140625" style="2" customWidth="1"/>
    <col min="13074" max="13074" width="13.5546875" style="2" bestFit="1" customWidth="1"/>
    <col min="13075" max="13075" width="4.44140625" style="2" customWidth="1"/>
    <col min="13076" max="13076" width="15" style="2" customWidth="1"/>
    <col min="13077" max="13077" width="8.88671875" style="2"/>
    <col min="13078" max="13078" width="10.33203125" style="2" bestFit="1" customWidth="1"/>
    <col min="13079" max="13313" width="8.88671875" style="2"/>
    <col min="13314" max="13314" width="10.109375" style="2" bestFit="1" customWidth="1"/>
    <col min="13315" max="13315" width="2.6640625" style="2" customWidth="1"/>
    <col min="13316" max="13316" width="11.88671875" style="2" customWidth="1"/>
    <col min="13317" max="13317" width="10.6640625" style="2" customWidth="1"/>
    <col min="13318" max="13318" width="11.33203125" style="2" customWidth="1"/>
    <col min="13319" max="13321" width="10.6640625" style="2" customWidth="1"/>
    <col min="13322" max="13322" width="11.88671875" style="2" customWidth="1"/>
    <col min="13323" max="13323" width="11.33203125" style="2" customWidth="1"/>
    <col min="13324" max="13324" width="12.33203125" style="2" customWidth="1"/>
    <col min="13325" max="13325" width="13.44140625" style="2" bestFit="1" customWidth="1"/>
    <col min="13326" max="13326" width="4.109375" style="2" customWidth="1"/>
    <col min="13327" max="13327" width="13.88671875" style="2" customWidth="1"/>
    <col min="13328" max="13328" width="12.33203125" style="2" customWidth="1"/>
    <col min="13329" max="13329" width="12.44140625" style="2" customWidth="1"/>
    <col min="13330" max="13330" width="13.5546875" style="2" bestFit="1" customWidth="1"/>
    <col min="13331" max="13331" width="4.44140625" style="2" customWidth="1"/>
    <col min="13332" max="13332" width="15" style="2" customWidth="1"/>
    <col min="13333" max="13333" width="8.88671875" style="2"/>
    <col min="13334" max="13334" width="10.33203125" style="2" bestFit="1" customWidth="1"/>
    <col min="13335" max="13569" width="8.88671875" style="2"/>
    <col min="13570" max="13570" width="10.109375" style="2" bestFit="1" customWidth="1"/>
    <col min="13571" max="13571" width="2.6640625" style="2" customWidth="1"/>
    <col min="13572" max="13572" width="11.88671875" style="2" customWidth="1"/>
    <col min="13573" max="13573" width="10.6640625" style="2" customWidth="1"/>
    <col min="13574" max="13574" width="11.33203125" style="2" customWidth="1"/>
    <col min="13575" max="13577" width="10.6640625" style="2" customWidth="1"/>
    <col min="13578" max="13578" width="11.88671875" style="2" customWidth="1"/>
    <col min="13579" max="13579" width="11.33203125" style="2" customWidth="1"/>
    <col min="13580" max="13580" width="12.33203125" style="2" customWidth="1"/>
    <col min="13581" max="13581" width="13.44140625" style="2" bestFit="1" customWidth="1"/>
    <col min="13582" max="13582" width="4.109375" style="2" customWidth="1"/>
    <col min="13583" max="13583" width="13.88671875" style="2" customWidth="1"/>
    <col min="13584" max="13584" width="12.33203125" style="2" customWidth="1"/>
    <col min="13585" max="13585" width="12.44140625" style="2" customWidth="1"/>
    <col min="13586" max="13586" width="13.5546875" style="2" bestFit="1" customWidth="1"/>
    <col min="13587" max="13587" width="4.44140625" style="2" customWidth="1"/>
    <col min="13588" max="13588" width="15" style="2" customWidth="1"/>
    <col min="13589" max="13589" width="8.88671875" style="2"/>
    <col min="13590" max="13590" width="10.33203125" style="2" bestFit="1" customWidth="1"/>
    <col min="13591" max="13825" width="8.88671875" style="2"/>
    <col min="13826" max="13826" width="10.109375" style="2" bestFit="1" customWidth="1"/>
    <col min="13827" max="13827" width="2.6640625" style="2" customWidth="1"/>
    <col min="13828" max="13828" width="11.88671875" style="2" customWidth="1"/>
    <col min="13829" max="13829" width="10.6640625" style="2" customWidth="1"/>
    <col min="13830" max="13830" width="11.33203125" style="2" customWidth="1"/>
    <col min="13831" max="13833" width="10.6640625" style="2" customWidth="1"/>
    <col min="13834" max="13834" width="11.88671875" style="2" customWidth="1"/>
    <col min="13835" max="13835" width="11.33203125" style="2" customWidth="1"/>
    <col min="13836" max="13836" width="12.33203125" style="2" customWidth="1"/>
    <col min="13837" max="13837" width="13.44140625" style="2" bestFit="1" customWidth="1"/>
    <col min="13838" max="13838" width="4.109375" style="2" customWidth="1"/>
    <col min="13839" max="13839" width="13.88671875" style="2" customWidth="1"/>
    <col min="13840" max="13840" width="12.33203125" style="2" customWidth="1"/>
    <col min="13841" max="13841" width="12.44140625" style="2" customWidth="1"/>
    <col min="13842" max="13842" width="13.5546875" style="2" bestFit="1" customWidth="1"/>
    <col min="13843" max="13843" width="4.44140625" style="2" customWidth="1"/>
    <col min="13844" max="13844" width="15" style="2" customWidth="1"/>
    <col min="13845" max="13845" width="8.88671875" style="2"/>
    <col min="13846" max="13846" width="10.33203125" style="2" bestFit="1" customWidth="1"/>
    <col min="13847" max="14081" width="8.88671875" style="2"/>
    <col min="14082" max="14082" width="10.109375" style="2" bestFit="1" customWidth="1"/>
    <col min="14083" max="14083" width="2.6640625" style="2" customWidth="1"/>
    <col min="14084" max="14084" width="11.88671875" style="2" customWidth="1"/>
    <col min="14085" max="14085" width="10.6640625" style="2" customWidth="1"/>
    <col min="14086" max="14086" width="11.33203125" style="2" customWidth="1"/>
    <col min="14087" max="14089" width="10.6640625" style="2" customWidth="1"/>
    <col min="14090" max="14090" width="11.88671875" style="2" customWidth="1"/>
    <col min="14091" max="14091" width="11.33203125" style="2" customWidth="1"/>
    <col min="14092" max="14092" width="12.33203125" style="2" customWidth="1"/>
    <col min="14093" max="14093" width="13.44140625" style="2" bestFit="1" customWidth="1"/>
    <col min="14094" max="14094" width="4.109375" style="2" customWidth="1"/>
    <col min="14095" max="14095" width="13.88671875" style="2" customWidth="1"/>
    <col min="14096" max="14096" width="12.33203125" style="2" customWidth="1"/>
    <col min="14097" max="14097" width="12.44140625" style="2" customWidth="1"/>
    <col min="14098" max="14098" width="13.5546875" style="2" bestFit="1" customWidth="1"/>
    <col min="14099" max="14099" width="4.44140625" style="2" customWidth="1"/>
    <col min="14100" max="14100" width="15" style="2" customWidth="1"/>
    <col min="14101" max="14101" width="8.88671875" style="2"/>
    <col min="14102" max="14102" width="10.33203125" style="2" bestFit="1" customWidth="1"/>
    <col min="14103" max="14337" width="8.88671875" style="2"/>
    <col min="14338" max="14338" width="10.109375" style="2" bestFit="1" customWidth="1"/>
    <col min="14339" max="14339" width="2.6640625" style="2" customWidth="1"/>
    <col min="14340" max="14340" width="11.88671875" style="2" customWidth="1"/>
    <col min="14341" max="14341" width="10.6640625" style="2" customWidth="1"/>
    <col min="14342" max="14342" width="11.33203125" style="2" customWidth="1"/>
    <col min="14343" max="14345" width="10.6640625" style="2" customWidth="1"/>
    <col min="14346" max="14346" width="11.88671875" style="2" customWidth="1"/>
    <col min="14347" max="14347" width="11.33203125" style="2" customWidth="1"/>
    <col min="14348" max="14348" width="12.33203125" style="2" customWidth="1"/>
    <col min="14349" max="14349" width="13.44140625" style="2" bestFit="1" customWidth="1"/>
    <col min="14350" max="14350" width="4.109375" style="2" customWidth="1"/>
    <col min="14351" max="14351" width="13.88671875" style="2" customWidth="1"/>
    <col min="14352" max="14352" width="12.33203125" style="2" customWidth="1"/>
    <col min="14353" max="14353" width="12.44140625" style="2" customWidth="1"/>
    <col min="14354" max="14354" width="13.5546875" style="2" bestFit="1" customWidth="1"/>
    <col min="14355" max="14355" width="4.44140625" style="2" customWidth="1"/>
    <col min="14356" max="14356" width="15" style="2" customWidth="1"/>
    <col min="14357" max="14357" width="8.88671875" style="2"/>
    <col min="14358" max="14358" width="10.33203125" style="2" bestFit="1" customWidth="1"/>
    <col min="14359" max="14593" width="8.88671875" style="2"/>
    <col min="14594" max="14594" width="10.109375" style="2" bestFit="1" customWidth="1"/>
    <col min="14595" max="14595" width="2.6640625" style="2" customWidth="1"/>
    <col min="14596" max="14596" width="11.88671875" style="2" customWidth="1"/>
    <col min="14597" max="14597" width="10.6640625" style="2" customWidth="1"/>
    <col min="14598" max="14598" width="11.33203125" style="2" customWidth="1"/>
    <col min="14599" max="14601" width="10.6640625" style="2" customWidth="1"/>
    <col min="14602" max="14602" width="11.88671875" style="2" customWidth="1"/>
    <col min="14603" max="14603" width="11.33203125" style="2" customWidth="1"/>
    <col min="14604" max="14604" width="12.33203125" style="2" customWidth="1"/>
    <col min="14605" max="14605" width="13.44140625" style="2" bestFit="1" customWidth="1"/>
    <col min="14606" max="14606" width="4.109375" style="2" customWidth="1"/>
    <col min="14607" max="14607" width="13.88671875" style="2" customWidth="1"/>
    <col min="14608" max="14608" width="12.33203125" style="2" customWidth="1"/>
    <col min="14609" max="14609" width="12.44140625" style="2" customWidth="1"/>
    <col min="14610" max="14610" width="13.5546875" style="2" bestFit="1" customWidth="1"/>
    <col min="14611" max="14611" width="4.44140625" style="2" customWidth="1"/>
    <col min="14612" max="14612" width="15" style="2" customWidth="1"/>
    <col min="14613" max="14613" width="8.88671875" style="2"/>
    <col min="14614" max="14614" width="10.33203125" style="2" bestFit="1" customWidth="1"/>
    <col min="14615" max="14849" width="8.88671875" style="2"/>
    <col min="14850" max="14850" width="10.109375" style="2" bestFit="1" customWidth="1"/>
    <col min="14851" max="14851" width="2.6640625" style="2" customWidth="1"/>
    <col min="14852" max="14852" width="11.88671875" style="2" customWidth="1"/>
    <col min="14853" max="14853" width="10.6640625" style="2" customWidth="1"/>
    <col min="14854" max="14854" width="11.33203125" style="2" customWidth="1"/>
    <col min="14855" max="14857" width="10.6640625" style="2" customWidth="1"/>
    <col min="14858" max="14858" width="11.88671875" style="2" customWidth="1"/>
    <col min="14859" max="14859" width="11.33203125" style="2" customWidth="1"/>
    <col min="14860" max="14860" width="12.33203125" style="2" customWidth="1"/>
    <col min="14861" max="14861" width="13.44140625" style="2" bestFit="1" customWidth="1"/>
    <col min="14862" max="14862" width="4.109375" style="2" customWidth="1"/>
    <col min="14863" max="14863" width="13.88671875" style="2" customWidth="1"/>
    <col min="14864" max="14864" width="12.33203125" style="2" customWidth="1"/>
    <col min="14865" max="14865" width="12.44140625" style="2" customWidth="1"/>
    <col min="14866" max="14866" width="13.5546875" style="2" bestFit="1" customWidth="1"/>
    <col min="14867" max="14867" width="4.44140625" style="2" customWidth="1"/>
    <col min="14868" max="14868" width="15" style="2" customWidth="1"/>
    <col min="14869" max="14869" width="8.88671875" style="2"/>
    <col min="14870" max="14870" width="10.33203125" style="2" bestFit="1" customWidth="1"/>
    <col min="14871" max="15105" width="8.88671875" style="2"/>
    <col min="15106" max="15106" width="10.109375" style="2" bestFit="1" customWidth="1"/>
    <col min="15107" max="15107" width="2.6640625" style="2" customWidth="1"/>
    <col min="15108" max="15108" width="11.88671875" style="2" customWidth="1"/>
    <col min="15109" max="15109" width="10.6640625" style="2" customWidth="1"/>
    <col min="15110" max="15110" width="11.33203125" style="2" customWidth="1"/>
    <col min="15111" max="15113" width="10.6640625" style="2" customWidth="1"/>
    <col min="15114" max="15114" width="11.88671875" style="2" customWidth="1"/>
    <col min="15115" max="15115" width="11.33203125" style="2" customWidth="1"/>
    <col min="15116" max="15116" width="12.33203125" style="2" customWidth="1"/>
    <col min="15117" max="15117" width="13.44140625" style="2" bestFit="1" customWidth="1"/>
    <col min="15118" max="15118" width="4.109375" style="2" customWidth="1"/>
    <col min="15119" max="15119" width="13.88671875" style="2" customWidth="1"/>
    <col min="15120" max="15120" width="12.33203125" style="2" customWidth="1"/>
    <col min="15121" max="15121" width="12.44140625" style="2" customWidth="1"/>
    <col min="15122" max="15122" width="13.5546875" style="2" bestFit="1" customWidth="1"/>
    <col min="15123" max="15123" width="4.44140625" style="2" customWidth="1"/>
    <col min="15124" max="15124" width="15" style="2" customWidth="1"/>
    <col min="15125" max="15125" width="8.88671875" style="2"/>
    <col min="15126" max="15126" width="10.33203125" style="2" bestFit="1" customWidth="1"/>
    <col min="15127" max="15361" width="8.88671875" style="2"/>
    <col min="15362" max="15362" width="10.109375" style="2" bestFit="1" customWidth="1"/>
    <col min="15363" max="15363" width="2.6640625" style="2" customWidth="1"/>
    <col min="15364" max="15364" width="11.88671875" style="2" customWidth="1"/>
    <col min="15365" max="15365" width="10.6640625" style="2" customWidth="1"/>
    <col min="15366" max="15366" width="11.33203125" style="2" customWidth="1"/>
    <col min="15367" max="15369" width="10.6640625" style="2" customWidth="1"/>
    <col min="15370" max="15370" width="11.88671875" style="2" customWidth="1"/>
    <col min="15371" max="15371" width="11.33203125" style="2" customWidth="1"/>
    <col min="15372" max="15372" width="12.33203125" style="2" customWidth="1"/>
    <col min="15373" max="15373" width="13.44140625" style="2" bestFit="1" customWidth="1"/>
    <col min="15374" max="15374" width="4.109375" style="2" customWidth="1"/>
    <col min="15375" max="15375" width="13.88671875" style="2" customWidth="1"/>
    <col min="15376" max="15376" width="12.33203125" style="2" customWidth="1"/>
    <col min="15377" max="15377" width="12.44140625" style="2" customWidth="1"/>
    <col min="15378" max="15378" width="13.5546875" style="2" bestFit="1" customWidth="1"/>
    <col min="15379" max="15379" width="4.44140625" style="2" customWidth="1"/>
    <col min="15380" max="15380" width="15" style="2" customWidth="1"/>
    <col min="15381" max="15381" width="8.88671875" style="2"/>
    <col min="15382" max="15382" width="10.33203125" style="2" bestFit="1" customWidth="1"/>
    <col min="15383" max="15617" width="8.88671875" style="2"/>
    <col min="15618" max="15618" width="10.109375" style="2" bestFit="1" customWidth="1"/>
    <col min="15619" max="15619" width="2.6640625" style="2" customWidth="1"/>
    <col min="15620" max="15620" width="11.88671875" style="2" customWidth="1"/>
    <col min="15621" max="15621" width="10.6640625" style="2" customWidth="1"/>
    <col min="15622" max="15622" width="11.33203125" style="2" customWidth="1"/>
    <col min="15623" max="15625" width="10.6640625" style="2" customWidth="1"/>
    <col min="15626" max="15626" width="11.88671875" style="2" customWidth="1"/>
    <col min="15627" max="15627" width="11.33203125" style="2" customWidth="1"/>
    <col min="15628" max="15628" width="12.33203125" style="2" customWidth="1"/>
    <col min="15629" max="15629" width="13.44140625" style="2" bestFit="1" customWidth="1"/>
    <col min="15630" max="15630" width="4.109375" style="2" customWidth="1"/>
    <col min="15631" max="15631" width="13.88671875" style="2" customWidth="1"/>
    <col min="15632" max="15632" width="12.33203125" style="2" customWidth="1"/>
    <col min="15633" max="15633" width="12.44140625" style="2" customWidth="1"/>
    <col min="15634" max="15634" width="13.5546875" style="2" bestFit="1" customWidth="1"/>
    <col min="15635" max="15635" width="4.44140625" style="2" customWidth="1"/>
    <col min="15636" max="15636" width="15" style="2" customWidth="1"/>
    <col min="15637" max="15637" width="8.88671875" style="2"/>
    <col min="15638" max="15638" width="10.33203125" style="2" bestFit="1" customWidth="1"/>
    <col min="15639" max="15873" width="8.88671875" style="2"/>
    <col min="15874" max="15874" width="10.109375" style="2" bestFit="1" customWidth="1"/>
    <col min="15875" max="15875" width="2.6640625" style="2" customWidth="1"/>
    <col min="15876" max="15876" width="11.88671875" style="2" customWidth="1"/>
    <col min="15877" max="15877" width="10.6640625" style="2" customWidth="1"/>
    <col min="15878" max="15878" width="11.33203125" style="2" customWidth="1"/>
    <col min="15879" max="15881" width="10.6640625" style="2" customWidth="1"/>
    <col min="15882" max="15882" width="11.88671875" style="2" customWidth="1"/>
    <col min="15883" max="15883" width="11.33203125" style="2" customWidth="1"/>
    <col min="15884" max="15884" width="12.33203125" style="2" customWidth="1"/>
    <col min="15885" max="15885" width="13.44140625" style="2" bestFit="1" customWidth="1"/>
    <col min="15886" max="15886" width="4.109375" style="2" customWidth="1"/>
    <col min="15887" max="15887" width="13.88671875" style="2" customWidth="1"/>
    <col min="15888" max="15888" width="12.33203125" style="2" customWidth="1"/>
    <col min="15889" max="15889" width="12.44140625" style="2" customWidth="1"/>
    <col min="15890" max="15890" width="13.5546875" style="2" bestFit="1" customWidth="1"/>
    <col min="15891" max="15891" width="4.44140625" style="2" customWidth="1"/>
    <col min="15892" max="15892" width="15" style="2" customWidth="1"/>
    <col min="15893" max="15893" width="8.88671875" style="2"/>
    <col min="15894" max="15894" width="10.33203125" style="2" bestFit="1" customWidth="1"/>
    <col min="15895" max="16129" width="8.88671875" style="2"/>
    <col min="16130" max="16130" width="10.109375" style="2" bestFit="1" customWidth="1"/>
    <col min="16131" max="16131" width="2.6640625" style="2" customWidth="1"/>
    <col min="16132" max="16132" width="11.88671875" style="2" customWidth="1"/>
    <col min="16133" max="16133" width="10.6640625" style="2" customWidth="1"/>
    <col min="16134" max="16134" width="11.33203125" style="2" customWidth="1"/>
    <col min="16135" max="16137" width="10.6640625" style="2" customWidth="1"/>
    <col min="16138" max="16138" width="11.88671875" style="2" customWidth="1"/>
    <col min="16139" max="16139" width="11.33203125" style="2" customWidth="1"/>
    <col min="16140" max="16140" width="12.33203125" style="2" customWidth="1"/>
    <col min="16141" max="16141" width="13.44140625" style="2" bestFit="1" customWidth="1"/>
    <col min="16142" max="16142" width="4.109375" style="2" customWidth="1"/>
    <col min="16143" max="16143" width="13.88671875" style="2" customWidth="1"/>
    <col min="16144" max="16144" width="12.33203125" style="2" customWidth="1"/>
    <col min="16145" max="16145" width="12.44140625" style="2" customWidth="1"/>
    <col min="16146" max="16146" width="13.5546875" style="2" bestFit="1" customWidth="1"/>
    <col min="16147" max="16147" width="4.44140625" style="2" customWidth="1"/>
    <col min="16148" max="16148" width="15" style="2" customWidth="1"/>
    <col min="16149" max="16149" width="8.88671875" style="2"/>
    <col min="16150" max="16150" width="10.33203125" style="2" bestFit="1" customWidth="1"/>
    <col min="16151" max="16384" width="8.88671875" style="2"/>
  </cols>
  <sheetData>
    <row r="1" spans="1:22" x14ac:dyDescent="0.25">
      <c r="A1" s="1" t="s">
        <v>0</v>
      </c>
      <c r="C1" s="383" t="s">
        <v>234</v>
      </c>
      <c r="D1" s="384">
        <v>2023</v>
      </c>
      <c r="G1" s="217"/>
    </row>
    <row r="3" spans="1:22" x14ac:dyDescent="0.25">
      <c r="A3" s="5"/>
    </row>
    <row r="4" spans="1:22" s="1" customFormat="1" x14ac:dyDescent="0.25">
      <c r="B4" s="230"/>
      <c r="C4" s="500" t="s">
        <v>1</v>
      </c>
      <c r="D4" s="501"/>
      <c r="E4" s="501"/>
      <c r="F4" s="501"/>
      <c r="G4" s="501"/>
      <c r="H4" s="501"/>
      <c r="I4" s="501"/>
      <c r="J4" s="501"/>
      <c r="K4" s="501"/>
      <c r="L4" s="501"/>
      <c r="M4" s="502"/>
      <c r="N4" s="6"/>
      <c r="O4" s="503" t="s">
        <v>2</v>
      </c>
      <c r="P4" s="504"/>
      <c r="Q4" s="504"/>
      <c r="R4" s="505"/>
      <c r="S4" s="7"/>
      <c r="T4" s="8" t="s">
        <v>3</v>
      </c>
    </row>
    <row r="5" spans="1:22" x14ac:dyDescent="0.25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5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5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5">
      <c r="A8" s="385">
        <v>45170</v>
      </c>
      <c r="B8" s="232" t="str">
        <f>TEXT(A8, "DDD")</f>
        <v>Fri</v>
      </c>
      <c r="C8" s="152">
        <f t="array" ref="C8:C38">TRANSPOSE(Pool!C33:AG33)</f>
        <v>1027.53</v>
      </c>
      <c r="D8" s="58">
        <f>'Box Canon'!C18+'Box Canon'!C19</f>
        <v>1036.72</v>
      </c>
      <c r="E8" s="21"/>
      <c r="F8" s="21"/>
      <c r="G8" s="151">
        <f t="array" ref="G8:G38">TRANSPOSE(Pool!C34:AG34)</f>
        <v>249.5</v>
      </c>
      <c r="H8" s="151">
        <f t="array" ref="H8:H38">TRANSPOSE(Pool!C35:AG35)</f>
        <v>0</v>
      </c>
      <c r="I8" s="151">
        <f>'Box Canon'!C20+'Box Canon'!C21</f>
        <v>57.78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5">
      <c r="A9" s="216">
        <f>SUM(A8+1)</f>
        <v>45171</v>
      </c>
      <c r="B9" s="232" t="str">
        <f t="shared" ref="B9:B38" si="0">TEXT(A9, "DDD")</f>
        <v>Sat</v>
      </c>
      <c r="C9" s="152">
        <v>3202.05</v>
      </c>
      <c r="D9" s="58">
        <f>'Box Canon'!D18+'Box Canon'!D19</f>
        <v>1849.58</v>
      </c>
      <c r="E9" s="21"/>
      <c r="F9" s="21"/>
      <c r="G9" s="151">
        <v>16572.8</v>
      </c>
      <c r="H9" s="151">
        <v>0</v>
      </c>
      <c r="I9" s="151">
        <f>'Box Canon'!D20+'Box Canon'!D21</f>
        <v>3995.1099999999997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5">
      <c r="A10" s="216">
        <f t="shared" ref="A10:A38" si="1">SUM(A9+1)</f>
        <v>45172</v>
      </c>
      <c r="B10" s="232" t="str">
        <f t="shared" si="0"/>
        <v>Sun</v>
      </c>
      <c r="C10" s="152">
        <v>3535.86</v>
      </c>
      <c r="D10" s="58">
        <f>'Box Canon'!E18+'Box Canon'!E19</f>
        <v>1963.01</v>
      </c>
      <c r="E10" s="21"/>
      <c r="F10" s="21"/>
      <c r="G10" s="151">
        <v>26733.49</v>
      </c>
      <c r="H10" s="151">
        <v>0</v>
      </c>
      <c r="I10" s="151">
        <f>'Box Canon'!E20+'Box Canon'!E21</f>
        <v>5487.3899999999994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ht="13.8" x14ac:dyDescent="0.3">
      <c r="A11" s="216">
        <f t="shared" si="1"/>
        <v>45173</v>
      </c>
      <c r="B11" s="232" t="str">
        <f t="shared" si="0"/>
        <v>Mon</v>
      </c>
      <c r="C11" s="152">
        <v>2985.7</v>
      </c>
      <c r="D11" s="58">
        <f>'Box Canon'!F18+'Box Canon'!F19</f>
        <v>1135.9000000000001</v>
      </c>
      <c r="E11" s="21"/>
      <c r="F11" s="21"/>
      <c r="G11" s="151">
        <v>13904.12</v>
      </c>
      <c r="H11" s="153">
        <v>0</v>
      </c>
      <c r="I11" s="151">
        <f>'Box Canon'!F20+'Box Canon'!F21</f>
        <v>2800.3999999999996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ht="13.8" x14ac:dyDescent="0.3">
      <c r="A12" s="216">
        <f t="shared" si="1"/>
        <v>45174</v>
      </c>
      <c r="B12" s="232" t="str">
        <f t="shared" si="0"/>
        <v>Tue</v>
      </c>
      <c r="C12" s="152">
        <v>910.43</v>
      </c>
      <c r="D12" s="58">
        <f>'Box Canon'!G18+'Box Canon'!G19</f>
        <v>1263.78</v>
      </c>
      <c r="E12" s="21"/>
      <c r="F12" s="21"/>
      <c r="G12" s="151">
        <v>6457.95</v>
      </c>
      <c r="H12" s="153">
        <v>0</v>
      </c>
      <c r="I12" s="151">
        <f>'Box Canon'!G20+'Box Canon'!G21</f>
        <v>1752.6100000000001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ht="13.8" x14ac:dyDescent="0.3">
      <c r="A13" s="216">
        <f t="shared" si="1"/>
        <v>45175</v>
      </c>
      <c r="B13" s="232" t="str">
        <f t="shared" si="0"/>
        <v>Wed</v>
      </c>
      <c r="C13" s="152">
        <v>756.93</v>
      </c>
      <c r="D13" s="58">
        <f>'Box Canon'!H18+'Box Canon'!H19</f>
        <v>885.97</v>
      </c>
      <c r="E13" s="21"/>
      <c r="F13" s="21"/>
      <c r="G13" s="151">
        <v>3747.67</v>
      </c>
      <c r="H13" s="153">
        <v>0</v>
      </c>
      <c r="I13" s="151">
        <f>'Box Canon'!H20+'Box Canon'!H21</f>
        <v>1152.8800000000001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ht="13.8" x14ac:dyDescent="0.3">
      <c r="A14" s="216">
        <f t="shared" si="1"/>
        <v>45176</v>
      </c>
      <c r="B14" s="232" t="str">
        <f t="shared" si="0"/>
        <v>Thu</v>
      </c>
      <c r="C14" s="152">
        <v>1096.72</v>
      </c>
      <c r="D14" s="58">
        <f>'Box Canon'!I18+'Box Canon'!I19</f>
        <v>1238.92</v>
      </c>
      <c r="E14" s="21"/>
      <c r="F14" s="21"/>
      <c r="G14" s="151">
        <v>5128.0600000000004</v>
      </c>
      <c r="H14" s="153">
        <v>0</v>
      </c>
      <c r="I14" s="151">
        <f>'Box Canon'!I20+'Box Canon'!I21</f>
        <v>1085.95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ht="13.8" x14ac:dyDescent="0.3">
      <c r="A15" s="216">
        <f t="shared" si="1"/>
        <v>45177</v>
      </c>
      <c r="B15" s="232" t="str">
        <f t="shared" si="0"/>
        <v>Fri</v>
      </c>
      <c r="C15" s="152">
        <v>1362.12</v>
      </c>
      <c r="D15" s="58">
        <f>'Box Canon'!J18+'Box Canon'!J19</f>
        <v>968.07999999999993</v>
      </c>
      <c r="E15" s="21"/>
      <c r="F15" s="21"/>
      <c r="G15" s="151">
        <v>7427.14</v>
      </c>
      <c r="H15" s="153">
        <v>0</v>
      </c>
      <c r="I15" s="151">
        <f>'Box Canon'!J20+'Box Canon'!J21</f>
        <v>1365.08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ht="13.8" x14ac:dyDescent="0.3">
      <c r="A16" s="216">
        <f t="shared" si="1"/>
        <v>45178</v>
      </c>
      <c r="B16" s="232" t="str">
        <f t="shared" si="0"/>
        <v>Sat</v>
      </c>
      <c r="C16" s="152">
        <v>2776.98</v>
      </c>
      <c r="D16" s="58">
        <f>'Box Canon'!K18+'Box Canon'!K19</f>
        <v>1321.5700000000002</v>
      </c>
      <c r="E16" s="21"/>
      <c r="F16" s="21"/>
      <c r="G16" s="151">
        <v>11579.31</v>
      </c>
      <c r="H16" s="153">
        <v>0</v>
      </c>
      <c r="I16" s="151">
        <f>'Box Canon'!K20+'Box Canon'!K21</f>
        <v>2089.1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ht="13.8" x14ac:dyDescent="0.3">
      <c r="A17" s="216">
        <f t="shared" si="1"/>
        <v>45179</v>
      </c>
      <c r="B17" s="232" t="str">
        <f t="shared" si="0"/>
        <v>Sun</v>
      </c>
      <c r="C17" s="152">
        <v>1533.59</v>
      </c>
      <c r="D17" s="58">
        <f>'Box Canon'!L18+'Box Canon'!L19</f>
        <v>1282.98</v>
      </c>
      <c r="E17" s="21"/>
      <c r="F17" s="21"/>
      <c r="G17" s="151">
        <v>6149.97</v>
      </c>
      <c r="H17" s="153">
        <v>0</v>
      </c>
      <c r="I17" s="151">
        <f>'Box Canon'!L20+'Box Canon'!L21</f>
        <v>1834.1599999999999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ht="13.8" x14ac:dyDescent="0.3">
      <c r="A18" s="216">
        <f t="shared" si="1"/>
        <v>45180</v>
      </c>
      <c r="B18" s="232" t="str">
        <f t="shared" si="0"/>
        <v>Mon</v>
      </c>
      <c r="C18" s="152">
        <v>877.84</v>
      </c>
      <c r="D18" s="58">
        <f>'Box Canon'!M18+'Box Canon'!M19</f>
        <v>1203.0900000000001</v>
      </c>
      <c r="E18" s="21"/>
      <c r="F18" s="21"/>
      <c r="G18" s="151">
        <v>6669.11</v>
      </c>
      <c r="H18" s="153">
        <v>0</v>
      </c>
      <c r="I18" s="151">
        <f>'Box Canon'!M20+'Box Canon'!M21</f>
        <v>1541.3400000000001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ht="13.8" x14ac:dyDescent="0.3">
      <c r="A19" s="216">
        <f t="shared" si="1"/>
        <v>45181</v>
      </c>
      <c r="B19" s="232" t="str">
        <f t="shared" si="0"/>
        <v>Tue</v>
      </c>
      <c r="C19" s="152">
        <v>805.09</v>
      </c>
      <c r="D19" s="58">
        <f>'Box Canon'!N18+'Box Canon'!N19</f>
        <v>749.99</v>
      </c>
      <c r="E19" s="21"/>
      <c r="F19" s="21"/>
      <c r="G19" s="151">
        <v>3714.26</v>
      </c>
      <c r="H19" s="153">
        <v>0</v>
      </c>
      <c r="I19" s="151">
        <f>'Box Canon'!N20+'Box Canon'!N21</f>
        <v>1091.1799999999998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ht="13.8" x14ac:dyDescent="0.3">
      <c r="A20" s="216">
        <f t="shared" si="1"/>
        <v>45182</v>
      </c>
      <c r="B20" s="232" t="str">
        <f t="shared" si="0"/>
        <v>Wed</v>
      </c>
      <c r="C20" s="152">
        <v>1089.68</v>
      </c>
      <c r="D20" s="58">
        <f>'Box Canon'!O18+'Box Canon'!O19</f>
        <v>986.91</v>
      </c>
      <c r="E20" s="21"/>
      <c r="F20" s="21"/>
      <c r="G20" s="151">
        <v>4298.6899999999996</v>
      </c>
      <c r="H20" s="153">
        <v>0</v>
      </c>
      <c r="I20" s="151">
        <f>'Box Canon'!O20+'Box Canon'!O21</f>
        <v>1735.34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ht="13.8" x14ac:dyDescent="0.3">
      <c r="A21" s="216">
        <f t="shared" si="1"/>
        <v>45183</v>
      </c>
      <c r="B21" s="232" t="str">
        <f t="shared" si="0"/>
        <v>Thu</v>
      </c>
      <c r="C21" s="152">
        <v>949.96</v>
      </c>
      <c r="D21" s="58">
        <f>'Box Canon'!P18+'Box Canon'!P19</f>
        <v>928.55</v>
      </c>
      <c r="E21" s="41"/>
      <c r="F21" s="21"/>
      <c r="G21" s="151">
        <v>4614.88</v>
      </c>
      <c r="H21" s="153">
        <v>0</v>
      </c>
      <c r="I21" s="151">
        <f>'Box Canon'!P20+'Box Canon'!P21</f>
        <v>1576.8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ht="13.8" x14ac:dyDescent="0.3">
      <c r="A22" s="216">
        <f t="shared" si="1"/>
        <v>45184</v>
      </c>
      <c r="B22" s="232" t="str">
        <f t="shared" si="0"/>
        <v>Fri</v>
      </c>
      <c r="C22" s="152">
        <v>693.78</v>
      </c>
      <c r="D22" s="58">
        <f>'Box Canon'!Q18+'Box Canon'!Q19</f>
        <v>569.23</v>
      </c>
      <c r="E22" s="21"/>
      <c r="F22" s="21"/>
      <c r="G22" s="151">
        <v>7176.57</v>
      </c>
      <c r="H22" s="153">
        <v>0</v>
      </c>
      <c r="I22" s="151">
        <f>'Box Canon'!Q20+'Box Canon'!Q21</f>
        <v>1508.76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ht="13.8" x14ac:dyDescent="0.3">
      <c r="A23" s="216">
        <f t="shared" si="1"/>
        <v>45185</v>
      </c>
      <c r="B23" s="232" t="str">
        <f t="shared" si="0"/>
        <v>Sat</v>
      </c>
      <c r="C23" s="152">
        <v>1845.26</v>
      </c>
      <c r="D23" s="58">
        <f>'Box Canon'!R18+'Box Canon'!R19</f>
        <v>1336.1399999999999</v>
      </c>
      <c r="E23" s="21"/>
      <c r="F23" s="21"/>
      <c r="G23" s="151">
        <v>12280.36</v>
      </c>
      <c r="H23" s="153">
        <v>0</v>
      </c>
      <c r="I23" s="151">
        <f>'Box Canon'!R20+'Box Canon'!R21</f>
        <v>2489.87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ht="13.8" x14ac:dyDescent="0.3">
      <c r="A24" s="216">
        <f t="shared" si="1"/>
        <v>45186</v>
      </c>
      <c r="B24" s="232" t="str">
        <f t="shared" si="0"/>
        <v>Sun</v>
      </c>
      <c r="C24" s="152">
        <v>1941.3</v>
      </c>
      <c r="D24" s="58">
        <f>'Box Canon'!S18+'Box Canon'!S19</f>
        <v>1319.3400000000001</v>
      </c>
      <c r="E24" s="21"/>
      <c r="F24" s="21"/>
      <c r="G24" s="151">
        <v>7346.19</v>
      </c>
      <c r="H24" s="153">
        <v>0</v>
      </c>
      <c r="I24" s="151">
        <f>'Box Canon'!S20+'Box Canon'!S21</f>
        <v>2030.26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ht="13.8" x14ac:dyDescent="0.3">
      <c r="A25" s="216">
        <f t="shared" si="1"/>
        <v>45187</v>
      </c>
      <c r="B25" s="232" t="str">
        <f t="shared" si="0"/>
        <v>Mon</v>
      </c>
      <c r="C25" s="152">
        <v>611.41999999999996</v>
      </c>
      <c r="D25" s="58">
        <f>'Box Canon'!T18+'Box Canon'!T19</f>
        <v>1216.75</v>
      </c>
      <c r="E25" s="21"/>
      <c r="F25" s="21"/>
      <c r="G25" s="151">
        <v>3549.35</v>
      </c>
      <c r="H25" s="153">
        <v>0</v>
      </c>
      <c r="I25" s="151">
        <f>'Box Canon'!T20+'Box Canon'!T21</f>
        <v>1463.03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ht="13.8" x14ac:dyDescent="0.3">
      <c r="A26" s="216">
        <f t="shared" si="1"/>
        <v>45188</v>
      </c>
      <c r="B26" s="232" t="str">
        <f t="shared" si="0"/>
        <v>Tue</v>
      </c>
      <c r="C26" s="152">
        <v>1089.6199999999999</v>
      </c>
      <c r="D26" s="58">
        <f>'Box Canon'!U18+'Box Canon'!U19</f>
        <v>1346.62</v>
      </c>
      <c r="E26" s="21"/>
      <c r="F26" s="21"/>
      <c r="G26" s="151">
        <v>3491.5</v>
      </c>
      <c r="H26" s="153">
        <v>0</v>
      </c>
      <c r="I26" s="151">
        <f>'Box Canon'!U20+'Box Canon'!U21</f>
        <v>1185.46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ht="13.8" x14ac:dyDescent="0.3">
      <c r="A27" s="216">
        <f t="shared" si="1"/>
        <v>45189</v>
      </c>
      <c r="B27" s="232" t="str">
        <f t="shared" si="0"/>
        <v>Wed</v>
      </c>
      <c r="C27" s="152">
        <v>1020.24</v>
      </c>
      <c r="D27" s="58">
        <f>'Box Canon'!V18+'Box Canon'!V19</f>
        <v>1426.67</v>
      </c>
      <c r="E27" s="21"/>
      <c r="F27" s="21"/>
      <c r="G27" s="151">
        <v>5343.3</v>
      </c>
      <c r="H27" s="153">
        <v>0</v>
      </c>
      <c r="I27" s="151">
        <f>'Box Canon'!V20+'Box Canon'!V21</f>
        <v>1492.94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ht="13.8" x14ac:dyDescent="0.3">
      <c r="A28" s="216">
        <f t="shared" si="1"/>
        <v>45190</v>
      </c>
      <c r="B28" s="232" t="str">
        <f t="shared" si="0"/>
        <v>Thu</v>
      </c>
      <c r="C28" s="152">
        <v>1606.29</v>
      </c>
      <c r="D28" s="58">
        <f>'Box Canon'!W18+'Box Canon'!W19</f>
        <v>1272.3699999999999</v>
      </c>
      <c r="E28" s="21"/>
      <c r="F28" s="21"/>
      <c r="G28" s="151">
        <v>5858.55</v>
      </c>
      <c r="H28" s="153">
        <v>0</v>
      </c>
      <c r="I28" s="151">
        <f>'Box Canon'!W20+'Box Canon'!W21</f>
        <v>1663.27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ht="13.8" x14ac:dyDescent="0.3">
      <c r="A29" s="216">
        <f t="shared" si="1"/>
        <v>45191</v>
      </c>
      <c r="B29" s="232" t="str">
        <f t="shared" si="0"/>
        <v>Fri</v>
      </c>
      <c r="C29" s="152">
        <v>1052.1300000000001</v>
      </c>
      <c r="D29" s="58">
        <f>'Box Canon'!X18+'Box Canon'!X19</f>
        <v>1118.3899999999999</v>
      </c>
      <c r="E29" s="21"/>
      <c r="F29" s="21"/>
      <c r="G29" s="151">
        <v>7794.76</v>
      </c>
      <c r="H29" s="153">
        <v>0</v>
      </c>
      <c r="I29" s="151">
        <f>'Box Canon'!X20+'Box Canon'!X21</f>
        <v>2209.2399999999998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ht="13.8" x14ac:dyDescent="0.3">
      <c r="A30" s="216">
        <f t="shared" si="1"/>
        <v>45192</v>
      </c>
      <c r="B30" s="232" t="str">
        <f t="shared" si="0"/>
        <v>Sat</v>
      </c>
      <c r="C30" s="152">
        <v>2260.65</v>
      </c>
      <c r="D30" s="58">
        <f>'Box Canon'!Y18+'Box Canon'!Y19</f>
        <v>1389.32</v>
      </c>
      <c r="E30" s="21"/>
      <c r="F30" s="21"/>
      <c r="G30" s="151">
        <v>12401.88</v>
      </c>
      <c r="H30" s="153">
        <v>0</v>
      </c>
      <c r="I30" s="151">
        <f>'Box Canon'!Y20+'Box Canon'!Y21</f>
        <v>3097.8999999999996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ht="13.8" x14ac:dyDescent="0.3">
      <c r="A31" s="216">
        <f t="shared" si="1"/>
        <v>45193</v>
      </c>
      <c r="B31" s="232" t="str">
        <f t="shared" si="0"/>
        <v>Sun</v>
      </c>
      <c r="C31" s="152">
        <v>2220.92</v>
      </c>
      <c r="D31" s="58">
        <f>'Box Canon'!Z18+'Box Canon'!Z19</f>
        <v>1642.54</v>
      </c>
      <c r="E31" s="21"/>
      <c r="F31" s="21"/>
      <c r="G31" s="151">
        <v>9376.16</v>
      </c>
      <c r="H31" s="153">
        <v>0</v>
      </c>
      <c r="I31" s="151">
        <f>'Box Canon'!Z20+'Box Canon'!Z21</f>
        <v>2671.55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ht="13.8" x14ac:dyDescent="0.3">
      <c r="A32" s="216">
        <f t="shared" si="1"/>
        <v>45194</v>
      </c>
      <c r="B32" s="232" t="str">
        <f t="shared" si="0"/>
        <v>Mon</v>
      </c>
      <c r="C32" s="152">
        <v>1251.67</v>
      </c>
      <c r="D32" s="58">
        <f>'Box Canon'!AA18+'Box Canon'!AA19</f>
        <v>1150.3699999999999</v>
      </c>
      <c r="E32" s="21"/>
      <c r="F32" s="21"/>
      <c r="G32" s="151">
        <v>7294.99</v>
      </c>
      <c r="H32" s="153">
        <v>0</v>
      </c>
      <c r="I32" s="151">
        <f>'Box Canon'!AA20+'Box Canon'!AA21</f>
        <v>1859.57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ht="13.8" x14ac:dyDescent="0.3">
      <c r="A33" s="216">
        <f t="shared" si="1"/>
        <v>45195</v>
      </c>
      <c r="B33" s="232" t="str">
        <f t="shared" si="0"/>
        <v>Tue</v>
      </c>
      <c r="C33" s="152">
        <v>728.75</v>
      </c>
      <c r="D33" s="58">
        <f>'Box Canon'!AB18+'Box Canon'!AB19</f>
        <v>1221.1199999999999</v>
      </c>
      <c r="E33" s="21"/>
      <c r="F33" s="21"/>
      <c r="G33" s="151">
        <v>4692.45</v>
      </c>
      <c r="H33" s="153">
        <v>0</v>
      </c>
      <c r="I33" s="151">
        <f>'Box Canon'!AB20+'Box Canon'!AB21</f>
        <v>1790.52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ht="13.8" x14ac:dyDescent="0.3">
      <c r="A34" s="216">
        <f t="shared" si="1"/>
        <v>45196</v>
      </c>
      <c r="B34" s="232" t="str">
        <f t="shared" si="0"/>
        <v>Wed</v>
      </c>
      <c r="C34" s="152">
        <v>1156.6099999999999</v>
      </c>
      <c r="D34" s="58">
        <f>'Box Canon'!AC18+'Box Canon'!AC19</f>
        <v>1262.46</v>
      </c>
      <c r="E34" s="21"/>
      <c r="F34" s="21"/>
      <c r="G34" s="151">
        <v>5228</v>
      </c>
      <c r="H34" s="153">
        <v>0</v>
      </c>
      <c r="I34" s="151">
        <f>'Box Canon'!AC20+'Box Canon'!AC21</f>
        <v>1759.9299999999998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ht="13.8" x14ac:dyDescent="0.3">
      <c r="A35" s="216">
        <f t="shared" si="1"/>
        <v>45197</v>
      </c>
      <c r="B35" s="232" t="str">
        <f t="shared" si="0"/>
        <v>Thu</v>
      </c>
      <c r="C35" s="152">
        <v>1411.5</v>
      </c>
      <c r="D35" s="58">
        <f>'Box Canon'!AD18+'Box Canon'!AD19</f>
        <v>1377.05</v>
      </c>
      <c r="E35" s="21"/>
      <c r="F35" s="21"/>
      <c r="G35" s="151">
        <v>6820.95</v>
      </c>
      <c r="H35" s="153">
        <v>0</v>
      </c>
      <c r="I35" s="151">
        <f>'Box Canon'!AD20+'Box Canon'!AD21</f>
        <v>1647.46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ht="13.8" x14ac:dyDescent="0.3">
      <c r="A36" s="216">
        <f t="shared" si="1"/>
        <v>45198</v>
      </c>
      <c r="B36" s="232" t="str">
        <f t="shared" si="0"/>
        <v>Fri</v>
      </c>
      <c r="C36" s="152">
        <v>1880.4</v>
      </c>
      <c r="D36" s="58">
        <f>'Box Canon'!AE18+'Box Canon'!AE19</f>
        <v>1129.44</v>
      </c>
      <c r="E36" s="42"/>
      <c r="F36" s="21"/>
      <c r="G36" s="151">
        <v>10196.6</v>
      </c>
      <c r="H36" s="153">
        <v>0</v>
      </c>
      <c r="I36" s="151">
        <f>'Box Canon'!AE20+'Box Canon'!AE21</f>
        <v>2805.7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ht="13.8" x14ac:dyDescent="0.3">
      <c r="A37" s="216">
        <f t="shared" si="1"/>
        <v>45199</v>
      </c>
      <c r="B37" s="232" t="str">
        <f t="shared" si="0"/>
        <v>Sat</v>
      </c>
      <c r="C37" s="152">
        <v>1952.2</v>
      </c>
      <c r="D37" s="58">
        <f>'Box Canon'!AF18+'Box Canon'!AF19</f>
        <v>1435.1999999999998</v>
      </c>
      <c r="E37" s="21"/>
      <c r="F37" s="21"/>
      <c r="G37" s="151">
        <v>11940.15</v>
      </c>
      <c r="H37" s="153">
        <v>0</v>
      </c>
      <c r="I37" s="151">
        <f>'Box Canon'!AF20+'Box Canon'!AF21</f>
        <v>3101.01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ht="13.8" x14ac:dyDescent="0.3">
      <c r="A38" s="216">
        <f t="shared" si="1"/>
        <v>45200</v>
      </c>
      <c r="B38" s="232" t="str">
        <f t="shared" si="0"/>
        <v>Sun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5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8" thickBot="1" x14ac:dyDescent="0.3">
      <c r="A40" s="49"/>
      <c r="B40" s="234"/>
      <c r="C40" s="171">
        <f>SUM(C8:C39)</f>
        <v>45633.219999999994</v>
      </c>
      <c r="D40" s="171">
        <f t="shared" ref="D40:M40" si="2">SUM(D8:D39)</f>
        <v>37028.06</v>
      </c>
      <c r="E40" s="172">
        <f t="shared" si="2"/>
        <v>0</v>
      </c>
      <c r="F40" s="172">
        <f t="shared" si="2"/>
        <v>0</v>
      </c>
      <c r="G40" s="171">
        <f>SUM(G8:G38)</f>
        <v>238038.71000000002</v>
      </c>
      <c r="H40" s="171">
        <f>SUM(H8:H38)</f>
        <v>0</v>
      </c>
      <c r="I40" s="171">
        <f>SUM(I8:I38)</f>
        <v>60341.589999999989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381041.57999999996</v>
      </c>
      <c r="U40" s="18"/>
      <c r="V40" s="18"/>
    </row>
    <row r="41" spans="1:22" ht="13.8" thickTop="1" x14ac:dyDescent="0.25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5">
      <c r="A42" s="49"/>
      <c r="B42" s="234"/>
      <c r="M42" s="177">
        <f>C40+D40+J40+K40+M40</f>
        <v>82661.279999999999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5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3.8" x14ac:dyDescent="0.25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5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5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5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5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5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5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5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5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5">
      <c r="B53" s="234"/>
      <c r="C53" s="55"/>
      <c r="N53" s="23"/>
      <c r="O53" s="18"/>
      <c r="P53" s="18"/>
      <c r="Q53" s="18"/>
      <c r="U53" s="18"/>
      <c r="V53" s="18"/>
    </row>
    <row r="54" spans="1:22" x14ac:dyDescent="0.25">
      <c r="B54" s="234"/>
      <c r="C54" s="55"/>
      <c r="N54" s="23"/>
      <c r="O54" s="18"/>
      <c r="P54" s="18"/>
      <c r="Q54" s="18"/>
      <c r="U54" s="18"/>
      <c r="V54" s="18"/>
    </row>
    <row r="55" spans="1:22" x14ac:dyDescent="0.25">
      <c r="B55" s="234"/>
      <c r="N55" s="23"/>
      <c r="O55" s="18"/>
      <c r="P55" s="18"/>
      <c r="Q55" s="18"/>
      <c r="U55" s="18"/>
      <c r="V55" s="18"/>
    </row>
    <row r="56" spans="1:22" x14ac:dyDescent="0.25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5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5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5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5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5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5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5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5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5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5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5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5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5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5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5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5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5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5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5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5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5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5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5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5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5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5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5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5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5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5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5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5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5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5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5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5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5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5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5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5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5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5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5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5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5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5">
      <c r="U102" s="18"/>
      <c r="V102" s="18"/>
    </row>
    <row r="103" spans="2:22" x14ac:dyDescent="0.25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K48" sqref="AK48"/>
    </sheetView>
  </sheetViews>
  <sheetFormatPr defaultColWidth="9.109375" defaultRowHeight="15.6" x14ac:dyDescent="0.3"/>
  <cols>
    <col min="1" max="1" width="10.44140625" style="59" bestFit="1" customWidth="1"/>
    <col min="2" max="2" width="36.44140625" style="60" customWidth="1"/>
    <col min="3" max="32" width="10" style="60" customWidth="1"/>
    <col min="33" max="33" width="10" style="60" hidden="1" customWidth="1"/>
    <col min="34" max="34" width="12.6640625" style="61" bestFit="1" customWidth="1"/>
    <col min="35" max="35" width="3" style="62" customWidth="1"/>
    <col min="36" max="36" width="10.44140625" style="60" customWidth="1"/>
    <col min="37" max="37" width="33.88671875" style="60" customWidth="1"/>
    <col min="38" max="38" width="12.5546875" style="59" bestFit="1" customWidth="1"/>
    <col min="39" max="39" width="12.88671875" style="59" customWidth="1"/>
    <col min="40" max="40" width="20.33203125" style="59" bestFit="1" customWidth="1"/>
    <col min="41" max="16384" width="9.109375" style="59"/>
  </cols>
  <sheetData>
    <row r="1" spans="1:39" ht="16.2" thickBot="1" x14ac:dyDescent="0.35">
      <c r="A1" s="170" t="s">
        <v>119</v>
      </c>
      <c r="B1" s="378" t="str">
        <f>'Cash Flow'!C1</f>
        <v>September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9" s="60" customFormat="1" ht="16.2" thickBot="1" x14ac:dyDescent="0.35">
      <c r="A2" s="63" t="s">
        <v>66</v>
      </c>
      <c r="B2" s="64" t="s">
        <v>128</v>
      </c>
      <c r="C2" s="106">
        <f>'Cash Flow'!A8</f>
        <v>45170</v>
      </c>
      <c r="D2" s="106">
        <f>C2+1</f>
        <v>45171</v>
      </c>
      <c r="E2" s="106">
        <f>D2+1</f>
        <v>45172</v>
      </c>
      <c r="F2" s="106">
        <f t="shared" ref="F2:AG2" si="0">E2+1</f>
        <v>45173</v>
      </c>
      <c r="G2" s="106">
        <f t="shared" si="0"/>
        <v>45174</v>
      </c>
      <c r="H2" s="106">
        <f t="shared" si="0"/>
        <v>45175</v>
      </c>
      <c r="I2" s="106">
        <f t="shared" si="0"/>
        <v>45176</v>
      </c>
      <c r="J2" s="106">
        <f t="shared" si="0"/>
        <v>45177</v>
      </c>
      <c r="K2" s="106">
        <f t="shared" si="0"/>
        <v>45178</v>
      </c>
      <c r="L2" s="106">
        <f t="shared" si="0"/>
        <v>45179</v>
      </c>
      <c r="M2" s="106">
        <f t="shared" si="0"/>
        <v>45180</v>
      </c>
      <c r="N2" s="106">
        <f t="shared" si="0"/>
        <v>45181</v>
      </c>
      <c r="O2" s="106">
        <f t="shared" si="0"/>
        <v>45182</v>
      </c>
      <c r="P2" s="106">
        <f t="shared" si="0"/>
        <v>45183</v>
      </c>
      <c r="Q2" s="106">
        <f t="shared" si="0"/>
        <v>45184</v>
      </c>
      <c r="R2" s="106">
        <f t="shared" si="0"/>
        <v>45185</v>
      </c>
      <c r="S2" s="106">
        <f t="shared" si="0"/>
        <v>45186</v>
      </c>
      <c r="T2" s="106">
        <f t="shared" si="0"/>
        <v>45187</v>
      </c>
      <c r="U2" s="106">
        <f t="shared" si="0"/>
        <v>45188</v>
      </c>
      <c r="V2" s="106">
        <f t="shared" si="0"/>
        <v>45189</v>
      </c>
      <c r="W2" s="106">
        <f t="shared" si="0"/>
        <v>45190</v>
      </c>
      <c r="X2" s="106">
        <f t="shared" si="0"/>
        <v>45191</v>
      </c>
      <c r="Y2" s="106">
        <f t="shared" si="0"/>
        <v>45192</v>
      </c>
      <c r="Z2" s="106">
        <f t="shared" si="0"/>
        <v>45193</v>
      </c>
      <c r="AA2" s="106">
        <f t="shared" si="0"/>
        <v>45194</v>
      </c>
      <c r="AB2" s="106">
        <f t="shared" si="0"/>
        <v>45195</v>
      </c>
      <c r="AC2" s="106">
        <f t="shared" si="0"/>
        <v>45196</v>
      </c>
      <c r="AD2" s="106">
        <f t="shared" si="0"/>
        <v>45197</v>
      </c>
      <c r="AE2" s="106">
        <f t="shared" si="0"/>
        <v>45198</v>
      </c>
      <c r="AF2" s="106">
        <f t="shared" si="0"/>
        <v>45199</v>
      </c>
      <c r="AG2" s="106">
        <f t="shared" si="0"/>
        <v>45200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3">
      <c r="A3" s="66" t="s">
        <v>61</v>
      </c>
      <c r="B3" s="67" t="s">
        <v>62</v>
      </c>
      <c r="C3" s="68">
        <v>43.9</v>
      </c>
      <c r="D3" s="185">
        <v>126.69</v>
      </c>
      <c r="E3" s="185">
        <v>107.48</v>
      </c>
      <c r="F3" s="185">
        <v>48.14</v>
      </c>
      <c r="G3" s="185">
        <v>12.32</v>
      </c>
      <c r="H3" s="185">
        <v>10.38</v>
      </c>
      <c r="I3" s="185">
        <v>27.06</v>
      </c>
      <c r="J3" s="185">
        <v>28.59</v>
      </c>
      <c r="K3" s="185">
        <v>34.43</v>
      </c>
      <c r="L3" s="185">
        <v>22.41</v>
      </c>
      <c r="M3" s="185">
        <v>40.32</v>
      </c>
      <c r="N3" s="185">
        <v>18.05</v>
      </c>
      <c r="O3" s="185">
        <v>29.04</v>
      </c>
      <c r="P3" s="185">
        <v>17.63</v>
      </c>
      <c r="Q3" s="185">
        <v>39.72</v>
      </c>
      <c r="R3" s="185">
        <v>66.489999999999995</v>
      </c>
      <c r="S3" s="185">
        <v>39.6</v>
      </c>
      <c r="T3" s="185">
        <v>18.010000000000002</v>
      </c>
      <c r="U3" s="185">
        <v>18.13</v>
      </c>
      <c r="V3" s="185">
        <v>35.54</v>
      </c>
      <c r="W3" s="185">
        <v>35.82</v>
      </c>
      <c r="X3" s="185">
        <v>44.22</v>
      </c>
      <c r="Y3" s="185">
        <v>59.25</v>
      </c>
      <c r="Z3" s="185">
        <v>58.95</v>
      </c>
      <c r="AA3" s="185">
        <v>25.38</v>
      </c>
      <c r="AB3" s="185">
        <v>23.13</v>
      </c>
      <c r="AC3" s="185">
        <v>36.21</v>
      </c>
      <c r="AD3" s="185">
        <v>32.299999999999997</v>
      </c>
      <c r="AE3" s="185">
        <v>55.3</v>
      </c>
      <c r="AF3" s="185">
        <v>56.44</v>
      </c>
      <c r="AG3" s="185"/>
      <c r="AH3" s="108">
        <f>SUM(C3:AG3)</f>
        <v>1210.93</v>
      </c>
      <c r="AJ3" s="66" t="s">
        <v>61</v>
      </c>
      <c r="AK3" s="67" t="s">
        <v>62</v>
      </c>
      <c r="AL3" s="210"/>
      <c r="AM3" s="210"/>
    </row>
    <row r="4" spans="1:39" x14ac:dyDescent="0.3">
      <c r="A4" s="69" t="s">
        <v>30</v>
      </c>
      <c r="B4" s="70" t="s">
        <v>226</v>
      </c>
      <c r="C4" s="71">
        <v>7752.2</v>
      </c>
      <c r="D4" s="72">
        <v>21332.400000000001</v>
      </c>
      <c r="E4" s="71">
        <v>25734.799999999999</v>
      </c>
      <c r="F4" s="71">
        <v>13893.2</v>
      </c>
      <c r="G4" s="71">
        <v>5770.4</v>
      </c>
      <c r="H4" s="71">
        <v>3680.8</v>
      </c>
      <c r="I4" s="71">
        <v>5295.2</v>
      </c>
      <c r="J4" s="71">
        <v>7135.2</v>
      </c>
      <c r="K4" s="71">
        <v>12666.2</v>
      </c>
      <c r="L4" s="71">
        <v>5901.8</v>
      </c>
      <c r="M4" s="71">
        <v>5894</v>
      </c>
      <c r="N4" s="71">
        <v>4094.4</v>
      </c>
      <c r="O4" s="71">
        <v>3648.8</v>
      </c>
      <c r="P4" s="71">
        <v>4631.6000000000004</v>
      </c>
      <c r="Q4" s="71">
        <v>7016.8</v>
      </c>
      <c r="R4" s="71">
        <v>10967.2</v>
      </c>
      <c r="S4" s="71">
        <v>7546.4</v>
      </c>
      <c r="T4" s="71">
        <v>2856.8</v>
      </c>
      <c r="U4" s="71">
        <v>3484</v>
      </c>
      <c r="V4" s="71">
        <v>5238.3999999999996</v>
      </c>
      <c r="W4" s="71">
        <v>6249</v>
      </c>
      <c r="X4" s="71">
        <v>7395.6</v>
      </c>
      <c r="Y4" s="71">
        <v>13087.2</v>
      </c>
      <c r="Z4" s="71">
        <v>8542.7999999999993</v>
      </c>
      <c r="AA4" s="71">
        <v>5466.8</v>
      </c>
      <c r="AB4" s="71">
        <v>4305.2</v>
      </c>
      <c r="AC4" s="71">
        <v>5386</v>
      </c>
      <c r="AD4" s="71">
        <v>5649.2</v>
      </c>
      <c r="AE4" s="71">
        <v>8912</v>
      </c>
      <c r="AF4" s="71">
        <v>12231.6</v>
      </c>
      <c r="AG4" s="71"/>
      <c r="AH4" s="108">
        <f t="shared" ref="AH4:AH28" si="1">SUM(C4:AG4)</f>
        <v>241766</v>
      </c>
      <c r="AJ4" s="69" t="s">
        <v>30</v>
      </c>
      <c r="AK4" s="70" t="s">
        <v>31</v>
      </c>
      <c r="AL4" s="210"/>
      <c r="AM4" s="210"/>
    </row>
    <row r="5" spans="1:39" hidden="1" x14ac:dyDescent="0.3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8" customFormat="1" x14ac:dyDescent="0.3">
      <c r="A6" s="162" t="s">
        <v>152</v>
      </c>
      <c r="B6" s="163" t="s">
        <v>231</v>
      </c>
      <c r="C6" s="479"/>
      <c r="D6" s="480">
        <v>845</v>
      </c>
      <c r="E6" s="480">
        <v>300</v>
      </c>
      <c r="F6" s="480">
        <v>145</v>
      </c>
      <c r="G6" s="480"/>
      <c r="H6" s="480">
        <v>210</v>
      </c>
      <c r="I6" s="480"/>
      <c r="J6" s="480">
        <v>300</v>
      </c>
      <c r="K6" s="480">
        <v>60</v>
      </c>
      <c r="L6" s="480">
        <v>550</v>
      </c>
      <c r="M6" s="480">
        <v>165</v>
      </c>
      <c r="N6" s="480"/>
      <c r="O6" s="480">
        <v>1225</v>
      </c>
      <c r="P6" s="480">
        <v>360</v>
      </c>
      <c r="Q6" s="480">
        <v>200</v>
      </c>
      <c r="R6" s="480">
        <v>810</v>
      </c>
      <c r="S6" s="480">
        <v>445</v>
      </c>
      <c r="T6" s="480">
        <v>340</v>
      </c>
      <c r="U6" s="480">
        <v>90</v>
      </c>
      <c r="V6" s="480">
        <v>525</v>
      </c>
      <c r="W6" s="480">
        <v>150</v>
      </c>
      <c r="X6" s="480"/>
      <c r="Y6" s="480"/>
      <c r="Z6" s="480">
        <v>825</v>
      </c>
      <c r="AA6" s="480">
        <v>945</v>
      </c>
      <c r="AB6" s="480">
        <v>314</v>
      </c>
      <c r="AC6" s="480"/>
      <c r="AD6" s="480">
        <v>785</v>
      </c>
      <c r="AE6" s="480">
        <v>510</v>
      </c>
      <c r="AF6" s="480">
        <v>275</v>
      </c>
      <c r="AG6" s="480"/>
      <c r="AH6" s="108">
        <f>SUM(C6:AG6)</f>
        <v>10374</v>
      </c>
      <c r="AI6" s="62"/>
      <c r="AJ6" s="162" t="s">
        <v>152</v>
      </c>
      <c r="AK6" s="163" t="s">
        <v>192</v>
      </c>
      <c r="AM6" s="481"/>
    </row>
    <row r="7" spans="1:39" s="468" customFormat="1" x14ac:dyDescent="0.3">
      <c r="A7" s="162" t="s">
        <v>152</v>
      </c>
      <c r="B7" s="163" t="s">
        <v>222</v>
      </c>
      <c r="C7" s="479">
        <v>720</v>
      </c>
      <c r="D7" s="480">
        <v>1040</v>
      </c>
      <c r="E7" s="480">
        <v>1360</v>
      </c>
      <c r="F7" s="480">
        <v>1080</v>
      </c>
      <c r="G7" s="480">
        <v>1400</v>
      </c>
      <c r="H7" s="480">
        <v>360</v>
      </c>
      <c r="I7" s="480">
        <v>360</v>
      </c>
      <c r="J7" s="480">
        <v>540</v>
      </c>
      <c r="K7" s="480">
        <v>1080</v>
      </c>
      <c r="L7" s="480">
        <v>720</v>
      </c>
      <c r="M7" s="480">
        <v>820</v>
      </c>
      <c r="N7" s="480">
        <v>180</v>
      </c>
      <c r="O7" s="480"/>
      <c r="P7" s="480">
        <v>180</v>
      </c>
      <c r="Q7" s="480">
        <v>180</v>
      </c>
      <c r="R7" s="480">
        <v>1400</v>
      </c>
      <c r="S7" s="480">
        <v>360</v>
      </c>
      <c r="T7" s="480">
        <v>680</v>
      </c>
      <c r="U7" s="480">
        <v>680</v>
      </c>
      <c r="V7" s="480">
        <v>180</v>
      </c>
      <c r="W7" s="480">
        <v>720</v>
      </c>
      <c r="X7" s="480">
        <v>900</v>
      </c>
      <c r="Y7" s="480">
        <v>720</v>
      </c>
      <c r="Z7" s="480">
        <v>1180</v>
      </c>
      <c r="AA7" s="480">
        <v>1320</v>
      </c>
      <c r="AB7" s="480">
        <v>360</v>
      </c>
      <c r="AC7" s="480">
        <v>320</v>
      </c>
      <c r="AD7" s="480">
        <v>1400</v>
      </c>
      <c r="AE7" s="480">
        <v>1540</v>
      </c>
      <c r="AF7" s="480">
        <v>720</v>
      </c>
      <c r="AG7" s="480"/>
      <c r="AH7" s="108">
        <f>SUM(C7:AG7)</f>
        <v>22500</v>
      </c>
      <c r="AI7" s="62"/>
      <c r="AJ7" s="162" t="s">
        <v>152</v>
      </c>
      <c r="AK7" s="163" t="s">
        <v>222</v>
      </c>
      <c r="AM7" s="481"/>
    </row>
    <row r="8" spans="1:39" s="468" customFormat="1" x14ac:dyDescent="0.3">
      <c r="A8" s="162" t="s">
        <v>157</v>
      </c>
      <c r="B8" s="163" t="s">
        <v>229</v>
      </c>
      <c r="C8" s="479"/>
      <c r="D8" s="480"/>
      <c r="E8" s="480"/>
      <c r="F8" s="480"/>
      <c r="G8" s="480"/>
      <c r="H8" s="480"/>
      <c r="I8" s="480"/>
      <c r="J8" s="480"/>
      <c r="K8" s="480"/>
      <c r="L8" s="480"/>
      <c r="M8" s="480">
        <v>150</v>
      </c>
      <c r="N8" s="480"/>
      <c r="O8" s="480"/>
      <c r="P8" s="480"/>
      <c r="Q8" s="480"/>
      <c r="R8" s="480"/>
      <c r="S8" s="480"/>
      <c r="T8" s="480"/>
      <c r="U8" s="480"/>
      <c r="V8" s="480"/>
      <c r="W8" s="480"/>
      <c r="X8" s="480"/>
      <c r="Y8" s="480"/>
      <c r="Z8" s="480"/>
      <c r="AA8" s="480"/>
      <c r="AB8" s="480"/>
      <c r="AC8" s="480"/>
      <c r="AD8" s="480"/>
      <c r="AE8" s="480"/>
      <c r="AF8" s="480"/>
      <c r="AG8" s="480"/>
      <c r="AH8" s="108">
        <f t="shared" ref="AH8:AH13" si="2">SUM(C8:AG8)</f>
        <v>150</v>
      </c>
      <c r="AI8" s="62"/>
      <c r="AJ8" s="162" t="s">
        <v>157</v>
      </c>
      <c r="AK8" s="163" t="s">
        <v>158</v>
      </c>
      <c r="AM8" s="481"/>
    </row>
    <row r="9" spans="1:39" x14ac:dyDescent="0.3">
      <c r="A9" s="69" t="s">
        <v>173</v>
      </c>
      <c r="B9" s="70" t="s">
        <v>63</v>
      </c>
      <c r="C9" s="71"/>
      <c r="D9" s="72">
        <v>800</v>
      </c>
      <c r="E9" s="72">
        <v>1243</v>
      </c>
      <c r="F9" s="72">
        <v>769</v>
      </c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>
        <v>10</v>
      </c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2822</v>
      </c>
      <c r="AJ9" s="69" t="s">
        <v>173</v>
      </c>
      <c r="AK9" s="70" t="s">
        <v>63</v>
      </c>
      <c r="AM9" s="210"/>
    </row>
    <row r="10" spans="1:39" s="468" customFormat="1" x14ac:dyDescent="0.3">
      <c r="A10" s="162" t="s">
        <v>159</v>
      </c>
      <c r="B10" s="163" t="s">
        <v>230</v>
      </c>
      <c r="C10" s="479"/>
      <c r="D10" s="480"/>
      <c r="E10" s="480"/>
      <c r="F10" s="480"/>
      <c r="G10" s="480"/>
      <c r="H10" s="480"/>
      <c r="I10" s="480"/>
      <c r="J10" s="480"/>
      <c r="K10" s="480"/>
      <c r="L10" s="480"/>
      <c r="M10" s="480"/>
      <c r="N10" s="480"/>
      <c r="O10" s="480"/>
      <c r="P10" s="480"/>
      <c r="Q10" s="480"/>
      <c r="R10" s="480"/>
      <c r="S10" s="480"/>
      <c r="T10" s="480"/>
      <c r="U10" s="480"/>
      <c r="V10" s="480"/>
      <c r="W10" s="480"/>
      <c r="X10" s="480"/>
      <c r="Y10" s="480"/>
      <c r="Z10" s="480"/>
      <c r="AA10" s="480"/>
      <c r="AB10" s="480"/>
      <c r="AC10" s="480"/>
      <c r="AD10" s="480"/>
      <c r="AE10" s="480"/>
      <c r="AF10" s="480"/>
      <c r="AG10" s="480"/>
      <c r="AH10" s="108">
        <f t="shared" si="2"/>
        <v>0</v>
      </c>
      <c r="AI10" s="62"/>
      <c r="AJ10" s="162" t="s">
        <v>159</v>
      </c>
      <c r="AK10" s="163" t="s">
        <v>160</v>
      </c>
      <c r="AM10" s="481"/>
    </row>
    <row r="11" spans="1:39" s="468" customFormat="1" hidden="1" x14ac:dyDescent="0.3">
      <c r="A11" s="162" t="s">
        <v>153</v>
      </c>
      <c r="B11" s="163" t="s">
        <v>154</v>
      </c>
      <c r="C11" s="479"/>
      <c r="D11" s="480"/>
      <c r="E11" s="480"/>
      <c r="F11" s="480"/>
      <c r="G11" s="480"/>
      <c r="H11" s="480"/>
      <c r="I11" s="480"/>
      <c r="J11" s="480"/>
      <c r="K11" s="480"/>
      <c r="L11" s="480"/>
      <c r="M11" s="480"/>
      <c r="N11" s="480"/>
      <c r="O11" s="480"/>
      <c r="P11" s="480"/>
      <c r="Q11" s="480"/>
      <c r="R11" s="480"/>
      <c r="S11" s="480"/>
      <c r="T11" s="480"/>
      <c r="U11" s="480"/>
      <c r="V11" s="480"/>
      <c r="W11" s="480"/>
      <c r="X11" s="480"/>
      <c r="Y11" s="480"/>
      <c r="Z11" s="480"/>
      <c r="AA11" s="480"/>
      <c r="AB11" s="480"/>
      <c r="AC11" s="480"/>
      <c r="AD11" s="480"/>
      <c r="AE11" s="480"/>
      <c r="AF11" s="480"/>
      <c r="AG11" s="480"/>
      <c r="AH11" s="108">
        <f t="shared" si="2"/>
        <v>0</v>
      </c>
      <c r="AI11" s="62"/>
      <c r="AJ11" s="162" t="s">
        <v>153</v>
      </c>
      <c r="AK11" s="163" t="s">
        <v>154</v>
      </c>
      <c r="AM11" s="481"/>
    </row>
    <row r="12" spans="1:39" s="468" customFormat="1" hidden="1" x14ac:dyDescent="0.3">
      <c r="A12" s="162" t="s">
        <v>164</v>
      </c>
      <c r="B12" s="163" t="s">
        <v>165</v>
      </c>
      <c r="C12" s="479"/>
      <c r="D12" s="480"/>
      <c r="E12" s="480"/>
      <c r="F12" s="480"/>
      <c r="G12" s="480"/>
      <c r="H12" s="480"/>
      <c r="I12" s="480"/>
      <c r="J12" s="480"/>
      <c r="K12" s="480"/>
      <c r="L12" s="480"/>
      <c r="M12" s="480"/>
      <c r="N12" s="480"/>
      <c r="O12" s="480"/>
      <c r="P12" s="480"/>
      <c r="Q12" s="480"/>
      <c r="R12" s="480"/>
      <c r="S12" s="480"/>
      <c r="T12" s="480"/>
      <c r="U12" s="480"/>
      <c r="V12" s="480"/>
      <c r="W12" s="480"/>
      <c r="X12" s="480"/>
      <c r="Y12" s="480"/>
      <c r="Z12" s="480"/>
      <c r="AA12" s="480"/>
      <c r="AB12" s="480"/>
      <c r="AC12" s="480"/>
      <c r="AD12" s="480"/>
      <c r="AE12" s="480"/>
      <c r="AF12" s="480"/>
      <c r="AG12" s="480"/>
      <c r="AH12" s="108">
        <f t="shared" si="2"/>
        <v>0</v>
      </c>
      <c r="AI12" s="62"/>
      <c r="AJ12" s="162" t="s">
        <v>164</v>
      </c>
      <c r="AK12" s="163" t="s">
        <v>165</v>
      </c>
      <c r="AM12" s="481"/>
    </row>
    <row r="13" spans="1:39" s="468" customFormat="1" hidden="1" x14ac:dyDescent="0.3">
      <c r="A13" s="162" t="s">
        <v>166</v>
      </c>
      <c r="B13" s="163" t="s">
        <v>167</v>
      </c>
      <c r="C13" s="479"/>
      <c r="D13" s="480"/>
      <c r="E13" s="480"/>
      <c r="F13" s="480"/>
      <c r="G13" s="480"/>
      <c r="H13" s="480"/>
      <c r="I13" s="480"/>
      <c r="J13" s="480"/>
      <c r="K13" s="480"/>
      <c r="L13" s="480"/>
      <c r="M13" s="480"/>
      <c r="N13" s="480"/>
      <c r="O13" s="480"/>
      <c r="P13" s="480"/>
      <c r="Q13" s="480"/>
      <c r="R13" s="480"/>
      <c r="S13" s="480"/>
      <c r="T13" s="480"/>
      <c r="U13" s="480"/>
      <c r="V13" s="480"/>
      <c r="W13" s="480"/>
      <c r="X13" s="480"/>
      <c r="Y13" s="480"/>
      <c r="Z13" s="480"/>
      <c r="AA13" s="480"/>
      <c r="AB13" s="480"/>
      <c r="AC13" s="480"/>
      <c r="AD13" s="480"/>
      <c r="AE13" s="480"/>
      <c r="AF13" s="480"/>
      <c r="AG13" s="480"/>
      <c r="AH13" s="108">
        <f t="shared" si="2"/>
        <v>0</v>
      </c>
      <c r="AI13" s="62"/>
      <c r="AJ13" s="162" t="s">
        <v>166</v>
      </c>
      <c r="AK13" s="163" t="s">
        <v>167</v>
      </c>
      <c r="AM13" s="481"/>
    </row>
    <row r="14" spans="1:39" s="468" customFormat="1" x14ac:dyDescent="0.3">
      <c r="A14" s="162" t="s">
        <v>34</v>
      </c>
      <c r="B14" s="163" t="s">
        <v>227</v>
      </c>
      <c r="C14" s="479">
        <v>28</v>
      </c>
      <c r="D14" s="480">
        <v>76</v>
      </c>
      <c r="E14" s="480">
        <v>179</v>
      </c>
      <c r="F14" s="480">
        <v>304</v>
      </c>
      <c r="G14" s="480">
        <v>52</v>
      </c>
      <c r="H14" s="480">
        <v>56</v>
      </c>
      <c r="I14" s="480">
        <v>56</v>
      </c>
      <c r="J14" s="480">
        <v>184</v>
      </c>
      <c r="K14" s="480">
        <v>68</v>
      </c>
      <c r="L14" s="480">
        <v>80</v>
      </c>
      <c r="M14" s="480">
        <v>36</v>
      </c>
      <c r="N14" s="480">
        <v>35</v>
      </c>
      <c r="O14" s="480">
        <v>100</v>
      </c>
      <c r="P14" s="480">
        <v>48</v>
      </c>
      <c r="Q14" s="480">
        <v>12</v>
      </c>
      <c r="R14" s="480">
        <v>167</v>
      </c>
      <c r="S14" s="480">
        <v>65</v>
      </c>
      <c r="T14" s="480">
        <v>52</v>
      </c>
      <c r="U14" s="480">
        <v>50</v>
      </c>
      <c r="V14" s="480">
        <v>28</v>
      </c>
      <c r="W14" s="480">
        <v>8</v>
      </c>
      <c r="X14" s="480">
        <v>32</v>
      </c>
      <c r="Y14" s="480">
        <v>36</v>
      </c>
      <c r="Z14" s="480">
        <v>244</v>
      </c>
      <c r="AA14" s="480">
        <v>32</v>
      </c>
      <c r="AB14" s="480">
        <v>84</v>
      </c>
      <c r="AC14" s="480">
        <v>145</v>
      </c>
      <c r="AD14" s="480">
        <v>24</v>
      </c>
      <c r="AE14" s="480">
        <v>206</v>
      </c>
      <c r="AF14" s="480">
        <v>36</v>
      </c>
      <c r="AG14" s="480"/>
      <c r="AH14" s="108">
        <f t="shared" si="1"/>
        <v>2523</v>
      </c>
      <c r="AI14" s="62"/>
      <c r="AJ14" s="162" t="s">
        <v>34</v>
      </c>
      <c r="AK14" s="163" t="s">
        <v>35</v>
      </c>
    </row>
    <row r="15" spans="1:39" s="468" customFormat="1" x14ac:dyDescent="0.3">
      <c r="A15" s="162" t="s">
        <v>36</v>
      </c>
      <c r="B15" s="163" t="s">
        <v>37</v>
      </c>
      <c r="C15" s="479">
        <v>449.62</v>
      </c>
      <c r="D15" s="480">
        <v>1323.33</v>
      </c>
      <c r="E15" s="480">
        <v>1110.8699999999999</v>
      </c>
      <c r="F15" s="480">
        <v>482.98</v>
      </c>
      <c r="G15" s="480">
        <v>124.48</v>
      </c>
      <c r="H15" s="480">
        <v>102.93</v>
      </c>
      <c r="I15" s="480">
        <v>277.72000000000003</v>
      </c>
      <c r="J15" s="480">
        <v>287.32</v>
      </c>
      <c r="K15" s="480">
        <v>352.21</v>
      </c>
      <c r="L15" s="480">
        <v>209.3</v>
      </c>
      <c r="M15" s="480">
        <v>267.44</v>
      </c>
      <c r="N15" s="480">
        <v>176.41</v>
      </c>
      <c r="O15" s="480">
        <v>270.77999999999997</v>
      </c>
      <c r="P15" s="480">
        <v>164.73</v>
      </c>
      <c r="Q15" s="480">
        <v>419.53</v>
      </c>
      <c r="R15" s="480">
        <v>694.18</v>
      </c>
      <c r="S15" s="480">
        <v>383.01</v>
      </c>
      <c r="T15" s="480">
        <v>185.16</v>
      </c>
      <c r="U15" s="480">
        <v>179.43</v>
      </c>
      <c r="V15" s="480">
        <v>349.3</v>
      </c>
      <c r="W15" s="480">
        <v>366.92</v>
      </c>
      <c r="X15" s="480">
        <v>457.27</v>
      </c>
      <c r="Y15" s="480">
        <v>606.67999999999995</v>
      </c>
      <c r="Z15" s="480">
        <v>601.79</v>
      </c>
      <c r="AA15" s="480">
        <v>260.64</v>
      </c>
      <c r="AB15" s="480">
        <v>229.51</v>
      </c>
      <c r="AC15" s="480">
        <v>357.28</v>
      </c>
      <c r="AD15" s="480">
        <v>332.13</v>
      </c>
      <c r="AE15" s="480">
        <v>571.4</v>
      </c>
      <c r="AF15" s="480">
        <v>553.91</v>
      </c>
      <c r="AG15" s="480"/>
      <c r="AH15" s="108">
        <f t="shared" si="1"/>
        <v>12148.259999999998</v>
      </c>
      <c r="AI15" s="62"/>
      <c r="AJ15" s="162" t="s">
        <v>36</v>
      </c>
      <c r="AK15" s="163" t="s">
        <v>37</v>
      </c>
    </row>
    <row r="16" spans="1:39" s="468" customFormat="1" hidden="1" x14ac:dyDescent="0.3">
      <c r="A16" s="162" t="s">
        <v>194</v>
      </c>
      <c r="B16" s="163" t="s">
        <v>111</v>
      </c>
      <c r="C16" s="479"/>
      <c r="D16" s="480"/>
      <c r="E16" s="480"/>
      <c r="F16" s="480"/>
      <c r="G16" s="480"/>
      <c r="H16" s="480"/>
      <c r="I16" s="480"/>
      <c r="J16" s="480"/>
      <c r="K16" s="480"/>
      <c r="L16" s="480"/>
      <c r="M16" s="480"/>
      <c r="N16" s="480"/>
      <c r="O16" s="480"/>
      <c r="P16" s="480"/>
      <c r="Q16" s="480"/>
      <c r="R16" s="480"/>
      <c r="S16" s="480"/>
      <c r="T16" s="480"/>
      <c r="U16" s="480"/>
      <c r="V16" s="480"/>
      <c r="W16" s="480"/>
      <c r="X16" s="480"/>
      <c r="Y16" s="480"/>
      <c r="Z16" s="480"/>
      <c r="AA16" s="480"/>
      <c r="AB16" s="480"/>
      <c r="AC16" s="480"/>
      <c r="AD16" s="480"/>
      <c r="AE16" s="480"/>
      <c r="AF16" s="480"/>
      <c r="AG16" s="480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8" customFormat="1" x14ac:dyDescent="0.3">
      <c r="A17" s="162" t="s">
        <v>36</v>
      </c>
      <c r="B17" s="163" t="s">
        <v>225</v>
      </c>
      <c r="C17" s="479">
        <v>13.75</v>
      </c>
      <c r="D17" s="480">
        <v>12.15</v>
      </c>
      <c r="E17" s="480">
        <v>23.4</v>
      </c>
      <c r="F17" s="480">
        <v>21.55</v>
      </c>
      <c r="G17" s="480">
        <v>5.05</v>
      </c>
      <c r="H17" s="480">
        <v>5.95</v>
      </c>
      <c r="I17" s="480">
        <v>7.8</v>
      </c>
      <c r="J17" s="480">
        <v>14.2</v>
      </c>
      <c r="K17" s="480">
        <v>11.45</v>
      </c>
      <c r="L17" s="480">
        <v>26.15</v>
      </c>
      <c r="M17" s="480">
        <v>8.9499999999999993</v>
      </c>
      <c r="N17" s="480">
        <v>14.7</v>
      </c>
      <c r="O17" s="480">
        <v>19.7</v>
      </c>
      <c r="P17" s="480">
        <v>11.7</v>
      </c>
      <c r="Q17" s="480">
        <v>2.2999999999999998</v>
      </c>
      <c r="R17" s="480">
        <v>10.75</v>
      </c>
      <c r="S17" s="480">
        <v>35.549999999999997</v>
      </c>
      <c r="T17" s="480">
        <v>4.8</v>
      </c>
      <c r="U17" s="480">
        <v>13.55</v>
      </c>
      <c r="V17" s="480">
        <v>7.8</v>
      </c>
      <c r="W17" s="480">
        <v>7.1</v>
      </c>
      <c r="X17" s="480">
        <v>15.8</v>
      </c>
      <c r="Y17" s="480">
        <v>9.4</v>
      </c>
      <c r="Z17" s="480">
        <v>21.55</v>
      </c>
      <c r="AA17" s="480">
        <v>7.8</v>
      </c>
      <c r="AB17" s="480">
        <v>17.36</v>
      </c>
      <c r="AC17" s="480">
        <v>15.76</v>
      </c>
      <c r="AD17" s="480">
        <v>9.82</v>
      </c>
      <c r="AE17" s="480">
        <v>15.3</v>
      </c>
      <c r="AF17" s="480">
        <v>19.399999999999999</v>
      </c>
      <c r="AG17" s="480"/>
      <c r="AH17" s="108">
        <f t="shared" si="1"/>
        <v>410.54</v>
      </c>
      <c r="AI17" s="62"/>
      <c r="AJ17" s="162" t="s">
        <v>36</v>
      </c>
      <c r="AK17" s="163" t="s">
        <v>225</v>
      </c>
    </row>
    <row r="18" spans="1:39" s="468" customFormat="1" x14ac:dyDescent="0.3">
      <c r="A18" s="162" t="s">
        <v>77</v>
      </c>
      <c r="B18" s="163" t="s">
        <v>193</v>
      </c>
      <c r="C18" s="479">
        <v>24</v>
      </c>
      <c r="D18" s="480">
        <v>289</v>
      </c>
      <c r="E18" s="480">
        <v>24</v>
      </c>
      <c r="F18" s="480">
        <v>145</v>
      </c>
      <c r="G18" s="480">
        <v>48</v>
      </c>
      <c r="H18" s="480">
        <v>24</v>
      </c>
      <c r="I18" s="480">
        <v>200</v>
      </c>
      <c r="J18" s="480">
        <v>300</v>
      </c>
      <c r="K18" s="480">
        <v>84</v>
      </c>
      <c r="L18" s="480">
        <v>200</v>
      </c>
      <c r="M18" s="480">
        <v>165</v>
      </c>
      <c r="N18" s="480"/>
      <c r="O18" s="480">
        <v>94</v>
      </c>
      <c r="P18" s="480">
        <v>150</v>
      </c>
      <c r="Q18" s="480"/>
      <c r="R18" s="480"/>
      <c r="S18" s="480">
        <v>370</v>
      </c>
      <c r="T18" s="480">
        <v>24</v>
      </c>
      <c r="U18" s="480">
        <v>64</v>
      </c>
      <c r="V18" s="480"/>
      <c r="W18" s="480"/>
      <c r="X18" s="480"/>
      <c r="Y18" s="480"/>
      <c r="Z18" s="480">
        <v>80</v>
      </c>
      <c r="AA18" s="480">
        <v>490</v>
      </c>
      <c r="AB18" s="480"/>
      <c r="AC18" s="480">
        <v>124</v>
      </c>
      <c r="AD18" s="480"/>
      <c r="AE18" s="480">
        <v>248</v>
      </c>
      <c r="AF18" s="480"/>
      <c r="AG18" s="480"/>
      <c r="AH18" s="108">
        <f t="shared" si="1"/>
        <v>3147</v>
      </c>
      <c r="AI18" s="62"/>
      <c r="AJ18" s="162" t="s">
        <v>77</v>
      </c>
      <c r="AK18" s="163" t="s">
        <v>78</v>
      </c>
      <c r="AL18" s="481"/>
    </row>
    <row r="19" spans="1:39" s="468" customFormat="1" hidden="1" x14ac:dyDescent="0.3">
      <c r="A19" s="162" t="s">
        <v>38</v>
      </c>
      <c r="B19" s="163" t="s">
        <v>39</v>
      </c>
      <c r="C19" s="479"/>
      <c r="D19" s="480"/>
      <c r="E19" s="480"/>
      <c r="F19" s="480"/>
      <c r="G19" s="480"/>
      <c r="H19" s="480"/>
      <c r="I19" s="480"/>
      <c r="J19" s="480"/>
      <c r="K19" s="480"/>
      <c r="L19" s="480"/>
      <c r="M19" s="480"/>
      <c r="N19" s="480"/>
      <c r="O19" s="480"/>
      <c r="P19" s="480"/>
      <c r="Q19" s="480"/>
      <c r="R19" s="480"/>
      <c r="S19" s="480"/>
      <c r="T19" s="480"/>
      <c r="U19" s="480"/>
      <c r="V19" s="480"/>
      <c r="W19" s="480"/>
      <c r="X19" s="480"/>
      <c r="Y19" s="480"/>
      <c r="Z19" s="480"/>
      <c r="AA19" s="480"/>
      <c r="AB19" s="480"/>
      <c r="AC19" s="480"/>
      <c r="AD19" s="480"/>
      <c r="AE19" s="480"/>
      <c r="AF19" s="480"/>
      <c r="AG19" s="480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8" customFormat="1" x14ac:dyDescent="0.3">
      <c r="A20" s="162" t="s">
        <v>40</v>
      </c>
      <c r="B20" s="163" t="s">
        <v>228</v>
      </c>
      <c r="C20" s="479"/>
      <c r="D20" s="480"/>
      <c r="E20" s="480">
        <v>180</v>
      </c>
      <c r="F20" s="480"/>
      <c r="G20" s="480"/>
      <c r="H20" s="480"/>
      <c r="I20" s="480"/>
      <c r="J20" s="480"/>
      <c r="K20" s="480"/>
      <c r="L20" s="480"/>
      <c r="M20" s="480"/>
      <c r="N20" s="480"/>
      <c r="O20" s="480"/>
      <c r="P20" s="480"/>
      <c r="Q20" s="480"/>
      <c r="R20" s="480"/>
      <c r="S20" s="480"/>
      <c r="T20" s="480"/>
      <c r="U20" s="480"/>
      <c r="V20" s="480"/>
      <c r="W20" s="480"/>
      <c r="X20" s="480"/>
      <c r="Y20" s="480"/>
      <c r="Z20" s="480"/>
      <c r="AA20" s="480"/>
      <c r="AB20" s="480"/>
      <c r="AC20" s="480"/>
      <c r="AD20" s="480"/>
      <c r="AE20" s="480"/>
      <c r="AF20" s="480"/>
      <c r="AG20" s="480"/>
      <c r="AH20" s="108">
        <f>SUM(C20:AG20)</f>
        <v>180</v>
      </c>
      <c r="AI20" s="62"/>
      <c r="AJ20" s="162" t="s">
        <v>40</v>
      </c>
      <c r="AK20" s="163" t="s">
        <v>41</v>
      </c>
    </row>
    <row r="21" spans="1:39" s="468" customFormat="1" x14ac:dyDescent="0.3">
      <c r="A21" s="162" t="s">
        <v>161</v>
      </c>
      <c r="B21" s="163" t="s">
        <v>162</v>
      </c>
      <c r="C21" s="479"/>
      <c r="D21" s="480"/>
      <c r="E21" s="480"/>
      <c r="F21" s="480"/>
      <c r="G21" s="480"/>
      <c r="H21" s="480"/>
      <c r="I21" s="480"/>
      <c r="J21" s="480"/>
      <c r="K21" s="480"/>
      <c r="L21" s="480"/>
      <c r="M21" s="480"/>
      <c r="N21" s="480"/>
      <c r="O21" s="480"/>
      <c r="P21" s="480"/>
      <c r="Q21" s="480"/>
      <c r="R21" s="480"/>
      <c r="S21" s="480"/>
      <c r="T21" s="480"/>
      <c r="U21" s="480"/>
      <c r="V21" s="480"/>
      <c r="W21" s="480"/>
      <c r="X21" s="480"/>
      <c r="Y21" s="480">
        <v>150</v>
      </c>
      <c r="Z21" s="480"/>
      <c r="AA21" s="480"/>
      <c r="AB21" s="480"/>
      <c r="AC21" s="480"/>
      <c r="AD21" s="480"/>
      <c r="AE21" s="480"/>
      <c r="AF21" s="480"/>
      <c r="AG21" s="480"/>
      <c r="AH21" s="108">
        <f t="shared" si="1"/>
        <v>150</v>
      </c>
      <c r="AI21" s="62"/>
      <c r="AJ21" s="162" t="s">
        <v>161</v>
      </c>
      <c r="AK21" s="163" t="s">
        <v>163</v>
      </c>
    </row>
    <row r="22" spans="1:39" hidden="1" x14ac:dyDescent="0.3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3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3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3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3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3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2" thickBot="1" x14ac:dyDescent="0.35">
      <c r="A28" s="77" t="s">
        <v>109</v>
      </c>
      <c r="B28" s="78" t="s">
        <v>175</v>
      </c>
      <c r="C28" s="79"/>
      <c r="D28" s="80"/>
      <c r="E28" s="80"/>
      <c r="F28" s="80">
        <v>52</v>
      </c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>
        <v>52</v>
      </c>
      <c r="T28" s="80"/>
      <c r="U28" s="80"/>
      <c r="V28" s="80"/>
      <c r="W28" s="80"/>
      <c r="X28" s="80"/>
      <c r="Y28" s="80"/>
      <c r="Z28" s="80"/>
      <c r="AA28" s="80"/>
      <c r="AB28" s="80">
        <v>88</v>
      </c>
      <c r="AC28" s="80"/>
      <c r="AD28" s="80"/>
      <c r="AE28" s="80"/>
      <c r="AF28" s="80"/>
      <c r="AG28" s="80"/>
      <c r="AH28" s="108">
        <f t="shared" si="1"/>
        <v>192</v>
      </c>
      <c r="AJ28" s="81" t="s">
        <v>109</v>
      </c>
      <c r="AK28" s="82" t="s">
        <v>85</v>
      </c>
      <c r="AL28" s="210"/>
    </row>
    <row r="29" spans="1:39" s="60" customFormat="1" ht="14.4" thickBot="1" x14ac:dyDescent="0.35">
      <c r="A29" s="199"/>
      <c r="B29" s="84" t="s">
        <v>64</v>
      </c>
      <c r="C29" s="107">
        <f t="shared" ref="C29:AG29" si="3">SUM(C3:C28)</f>
        <v>9031.4699999999993</v>
      </c>
      <c r="D29" s="107">
        <f t="shared" si="3"/>
        <v>25844.57</v>
      </c>
      <c r="E29" s="107">
        <f t="shared" si="3"/>
        <v>30262.55</v>
      </c>
      <c r="F29" s="107">
        <f t="shared" si="3"/>
        <v>16940.87</v>
      </c>
      <c r="G29" s="107">
        <f t="shared" si="3"/>
        <v>7412.2499999999991</v>
      </c>
      <c r="H29" s="107">
        <f t="shared" si="3"/>
        <v>4450.0600000000004</v>
      </c>
      <c r="I29" s="107">
        <f t="shared" si="3"/>
        <v>6223.7800000000007</v>
      </c>
      <c r="J29" s="107">
        <f t="shared" si="3"/>
        <v>8789.3100000000013</v>
      </c>
      <c r="K29" s="107">
        <f t="shared" si="3"/>
        <v>14356.29</v>
      </c>
      <c r="L29" s="107">
        <f t="shared" si="3"/>
        <v>7709.66</v>
      </c>
      <c r="M29" s="107">
        <f t="shared" si="3"/>
        <v>7546.7099999999991</v>
      </c>
      <c r="N29" s="107">
        <f t="shared" si="3"/>
        <v>4518.5599999999995</v>
      </c>
      <c r="O29" s="107">
        <f t="shared" si="3"/>
        <v>5387.32</v>
      </c>
      <c r="P29" s="107">
        <f t="shared" si="3"/>
        <v>5563.66</v>
      </c>
      <c r="Q29" s="107">
        <f t="shared" si="3"/>
        <v>7870.35</v>
      </c>
      <c r="R29" s="107">
        <f t="shared" si="3"/>
        <v>14125.62</v>
      </c>
      <c r="S29" s="107">
        <f t="shared" si="3"/>
        <v>9296.56</v>
      </c>
      <c r="T29" s="107">
        <f t="shared" si="3"/>
        <v>4160.7700000000004</v>
      </c>
      <c r="U29" s="107">
        <f t="shared" si="3"/>
        <v>4579.1100000000006</v>
      </c>
      <c r="V29" s="107">
        <f t="shared" si="3"/>
        <v>6364.04</v>
      </c>
      <c r="W29" s="107">
        <f t="shared" si="3"/>
        <v>7536.84</v>
      </c>
      <c r="X29" s="107">
        <f t="shared" si="3"/>
        <v>8844.89</v>
      </c>
      <c r="Y29" s="107">
        <f t="shared" si="3"/>
        <v>14668.53</v>
      </c>
      <c r="Z29" s="107">
        <f t="shared" si="3"/>
        <v>11554.09</v>
      </c>
      <c r="AA29" s="107">
        <f t="shared" si="3"/>
        <v>8547.6200000000008</v>
      </c>
      <c r="AB29" s="107">
        <f t="shared" si="3"/>
        <v>5421.2</v>
      </c>
      <c r="AC29" s="107">
        <f t="shared" si="3"/>
        <v>6384.25</v>
      </c>
      <c r="AD29" s="107">
        <f t="shared" si="3"/>
        <v>8232.4499999999989</v>
      </c>
      <c r="AE29" s="107">
        <f t="shared" si="3"/>
        <v>12057.999999999998</v>
      </c>
      <c r="AF29" s="107">
        <f t="shared" si="3"/>
        <v>13892.35</v>
      </c>
      <c r="AG29" s="107">
        <f t="shared" si="3"/>
        <v>0</v>
      </c>
      <c r="AH29" s="109">
        <f>SUM(C3:AG28)</f>
        <v>297573.73</v>
      </c>
      <c r="AI29" s="85"/>
      <c r="AJ29" s="275"/>
      <c r="AK29" s="276" t="s">
        <v>64</v>
      </c>
    </row>
    <row r="30" spans="1:39" s="60" customFormat="1" ht="14.4" thickBot="1" x14ac:dyDescent="0.35">
      <c r="A30" s="200"/>
      <c r="B30" s="91" t="s">
        <v>104</v>
      </c>
      <c r="C30" s="72">
        <v>9031.4699999999993</v>
      </c>
      <c r="D30" s="72">
        <v>25844.57</v>
      </c>
      <c r="E30" s="72">
        <v>30262.55</v>
      </c>
      <c r="F30" s="72">
        <v>16940.87</v>
      </c>
      <c r="G30" s="72">
        <v>7412.25</v>
      </c>
      <c r="H30" s="72">
        <v>4450.0600000000004</v>
      </c>
      <c r="I30" s="72">
        <v>6223.78</v>
      </c>
      <c r="J30" s="72">
        <v>8789.31</v>
      </c>
      <c r="K30" s="72">
        <v>14356.29</v>
      </c>
      <c r="L30" s="72">
        <v>7709.66</v>
      </c>
      <c r="M30" s="72">
        <v>7546.71</v>
      </c>
      <c r="N30" s="72">
        <v>4518.5600000000004</v>
      </c>
      <c r="O30" s="72">
        <v>5387.32</v>
      </c>
      <c r="P30" s="72">
        <v>5563.66</v>
      </c>
      <c r="Q30" s="72">
        <v>7870.35</v>
      </c>
      <c r="R30" s="72">
        <v>14125.62</v>
      </c>
      <c r="S30" s="72">
        <v>9296.56</v>
      </c>
      <c r="T30" s="72">
        <v>4160.7700000000004</v>
      </c>
      <c r="U30" s="72">
        <v>4579.1099999999997</v>
      </c>
      <c r="V30" s="72">
        <v>6364.04</v>
      </c>
      <c r="W30" s="72">
        <v>7536.84</v>
      </c>
      <c r="X30" s="72">
        <v>8844.89</v>
      </c>
      <c r="Y30" s="72">
        <v>14668.53</v>
      </c>
      <c r="Z30" s="72">
        <v>11554.09</v>
      </c>
      <c r="AA30" s="72">
        <v>8547.6200000000008</v>
      </c>
      <c r="AB30" s="72">
        <v>5421.2</v>
      </c>
      <c r="AC30" s="72">
        <v>6384.25</v>
      </c>
      <c r="AD30" s="72">
        <v>8232.4500000000007</v>
      </c>
      <c r="AE30" s="72">
        <v>12058</v>
      </c>
      <c r="AF30" s="72">
        <v>13892.35</v>
      </c>
      <c r="AG30" s="72"/>
      <c r="AH30" s="191">
        <f>SUM(C30:AG30)</f>
        <v>297573.73</v>
      </c>
      <c r="AI30" s="85"/>
      <c r="AJ30" s="190"/>
      <c r="AK30" s="190"/>
    </row>
    <row r="31" spans="1:39" s="60" customFormat="1" ht="15" thickBot="1" x14ac:dyDescent="0.35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10" t="s">
        <v>127</v>
      </c>
      <c r="AK31" s="511"/>
      <c r="AL31" s="511"/>
      <c r="AM31" s="512"/>
    </row>
    <row r="32" spans="1:39" ht="16.2" thickBot="1" x14ac:dyDescent="0.35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3">
      <c r="A33" s="89" t="s">
        <v>60</v>
      </c>
      <c r="B33" s="84" t="s">
        <v>54</v>
      </c>
      <c r="C33" s="392">
        <v>1027.53</v>
      </c>
      <c r="D33" s="392">
        <v>3202.05</v>
      </c>
      <c r="E33" s="392">
        <v>3535.86</v>
      </c>
      <c r="F33" s="392">
        <v>2985.7</v>
      </c>
      <c r="G33" s="392">
        <v>910.43</v>
      </c>
      <c r="H33" s="392">
        <v>756.93</v>
      </c>
      <c r="I33" s="392">
        <v>1096.72</v>
      </c>
      <c r="J33" s="392">
        <v>1362.12</v>
      </c>
      <c r="K33" s="392">
        <v>2776.98</v>
      </c>
      <c r="L33" s="392">
        <v>1533.59</v>
      </c>
      <c r="M33" s="392">
        <v>877.84</v>
      </c>
      <c r="N33" s="392">
        <v>805.09</v>
      </c>
      <c r="O33" s="392">
        <v>1089.68</v>
      </c>
      <c r="P33" s="392">
        <v>949.96</v>
      </c>
      <c r="Q33" s="392">
        <v>693.78</v>
      </c>
      <c r="R33" s="392">
        <v>1845.26</v>
      </c>
      <c r="S33" s="392">
        <v>1941.3</v>
      </c>
      <c r="T33" s="392">
        <v>611.41999999999996</v>
      </c>
      <c r="U33" s="392">
        <v>1089.6199999999999</v>
      </c>
      <c r="V33" s="392">
        <v>1020.24</v>
      </c>
      <c r="W33" s="392">
        <v>1606.29</v>
      </c>
      <c r="X33" s="392">
        <v>1052.1300000000001</v>
      </c>
      <c r="Y33" s="392">
        <v>2260.65</v>
      </c>
      <c r="Z33" s="392">
        <v>2220.92</v>
      </c>
      <c r="AA33" s="392">
        <v>1251.67</v>
      </c>
      <c r="AB33" s="392">
        <v>728.75</v>
      </c>
      <c r="AC33" s="392">
        <v>1156.6099999999999</v>
      </c>
      <c r="AD33" s="392">
        <v>1411.5</v>
      </c>
      <c r="AE33" s="393">
        <v>1880.4</v>
      </c>
      <c r="AF33" s="393">
        <v>1952.2</v>
      </c>
      <c r="AG33" s="393"/>
      <c r="AH33" s="110">
        <f>SUM(C33:AG33)</f>
        <v>45633.219999999994</v>
      </c>
      <c r="AJ33" s="137" t="s">
        <v>60</v>
      </c>
      <c r="AK33" s="138" t="s">
        <v>122</v>
      </c>
      <c r="AL33" s="386">
        <f>SUM(C33:AD33)</f>
        <v>41800.619999999995</v>
      </c>
      <c r="AM33" s="387">
        <f>SUM(AE33:AG33)</f>
        <v>3832.6000000000004</v>
      </c>
    </row>
    <row r="34" spans="1:40" x14ac:dyDescent="0.3">
      <c r="A34" s="90" t="s">
        <v>60</v>
      </c>
      <c r="B34" s="91" t="s">
        <v>55</v>
      </c>
      <c r="C34" s="485">
        <v>249.5</v>
      </c>
      <c r="D34" s="485">
        <v>16572.8</v>
      </c>
      <c r="E34" s="485">
        <v>26733.49</v>
      </c>
      <c r="F34" s="485">
        <v>13904.12</v>
      </c>
      <c r="G34" s="485">
        <v>6457.95</v>
      </c>
      <c r="H34" s="485">
        <v>3747.67</v>
      </c>
      <c r="I34" s="485">
        <v>5128.0600000000004</v>
      </c>
      <c r="J34" s="485">
        <v>7427.14</v>
      </c>
      <c r="K34" s="485">
        <v>11579.31</v>
      </c>
      <c r="L34" s="485">
        <v>6149.97</v>
      </c>
      <c r="M34" s="485">
        <v>6669.11</v>
      </c>
      <c r="N34" s="485">
        <v>3714.26</v>
      </c>
      <c r="O34" s="485">
        <v>4298.6899999999996</v>
      </c>
      <c r="P34" s="485">
        <v>4614.88</v>
      </c>
      <c r="Q34" s="485">
        <v>7176.57</v>
      </c>
      <c r="R34" s="485">
        <v>12280.36</v>
      </c>
      <c r="S34" s="485">
        <v>7346.19</v>
      </c>
      <c r="T34" s="485">
        <v>3549.35</v>
      </c>
      <c r="U34" s="485">
        <v>3491.5</v>
      </c>
      <c r="V34" s="485">
        <v>5343.3</v>
      </c>
      <c r="W34" s="485">
        <v>5858.55</v>
      </c>
      <c r="X34" s="485">
        <v>7794.76</v>
      </c>
      <c r="Y34" s="485">
        <v>12401.88</v>
      </c>
      <c r="Z34" s="485">
        <v>9376.16</v>
      </c>
      <c r="AA34" s="485">
        <v>7294.99</v>
      </c>
      <c r="AB34" s="494">
        <v>4692.45</v>
      </c>
      <c r="AC34" s="494">
        <v>5228</v>
      </c>
      <c r="AD34" s="494">
        <v>6820.95</v>
      </c>
      <c r="AE34" s="494">
        <v>10196.6</v>
      </c>
      <c r="AF34" s="494">
        <v>11940.15</v>
      </c>
      <c r="AG34" s="391"/>
      <c r="AH34" s="111">
        <f t="shared" ref="AH34:AH38" si="5">SUM(C34:AG34)</f>
        <v>238038.71000000002</v>
      </c>
      <c r="AJ34" s="129" t="s">
        <v>60</v>
      </c>
      <c r="AK34" s="130" t="s">
        <v>198</v>
      </c>
      <c r="AL34" s="290">
        <f>SUM(C34:AA34)-AL45</f>
        <v>192488.38</v>
      </c>
      <c r="AM34" s="291">
        <f>SUM(AB34:AG34)-AM45</f>
        <v>37659.700000000004</v>
      </c>
    </row>
    <row r="35" spans="1:40" x14ac:dyDescent="0.3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3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3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2" thickBot="1" x14ac:dyDescent="0.35">
      <c r="A38" s="81" t="s">
        <v>109</v>
      </c>
      <c r="B38" s="94" t="s">
        <v>172</v>
      </c>
      <c r="C38" s="382"/>
      <c r="D38" s="382"/>
      <c r="E38" s="382"/>
      <c r="F38" s="382">
        <v>52</v>
      </c>
      <c r="G38" s="382"/>
      <c r="H38" s="382"/>
      <c r="I38" s="382"/>
      <c r="J38" s="382"/>
      <c r="K38" s="382"/>
      <c r="L38" s="382">
        <v>26</v>
      </c>
      <c r="M38" s="382"/>
      <c r="N38" s="382"/>
      <c r="O38" s="382"/>
      <c r="P38" s="382"/>
      <c r="Q38" s="382"/>
      <c r="R38" s="382"/>
      <c r="S38" s="382"/>
      <c r="T38" s="382"/>
      <c r="U38" s="382"/>
      <c r="V38" s="382"/>
      <c r="W38" s="382">
        <v>52</v>
      </c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130</v>
      </c>
      <c r="AJ38" s="129" t="s">
        <v>109</v>
      </c>
      <c r="AK38" s="130" t="s">
        <v>156</v>
      </c>
      <c r="AL38" s="269">
        <f>AH38</f>
        <v>130</v>
      </c>
      <c r="AM38" s="270"/>
    </row>
    <row r="39" spans="1:40" ht="16.2" thickBot="1" x14ac:dyDescent="0.35">
      <c r="A39" s="202"/>
      <c r="B39" s="193" t="s">
        <v>65</v>
      </c>
      <c r="C39" s="107">
        <f t="shared" ref="C39:AG39" si="6">SUM(C33:C38)</f>
        <v>1277.03</v>
      </c>
      <c r="D39" s="107">
        <f t="shared" si="6"/>
        <v>19774.849999999999</v>
      </c>
      <c r="E39" s="107">
        <f t="shared" si="6"/>
        <v>30269.350000000002</v>
      </c>
      <c r="F39" s="107">
        <f t="shared" si="6"/>
        <v>16941.82</v>
      </c>
      <c r="G39" s="107">
        <f t="shared" si="6"/>
        <v>7368.38</v>
      </c>
      <c r="H39" s="107">
        <f t="shared" si="6"/>
        <v>4504.6000000000004</v>
      </c>
      <c r="I39" s="107">
        <f t="shared" si="6"/>
        <v>6224.7800000000007</v>
      </c>
      <c r="J39" s="107">
        <f t="shared" si="6"/>
        <v>8789.26</v>
      </c>
      <c r="K39" s="107">
        <f t="shared" si="6"/>
        <v>14356.289999999999</v>
      </c>
      <c r="L39" s="107">
        <f t="shared" si="6"/>
        <v>7709.56</v>
      </c>
      <c r="M39" s="107">
        <f t="shared" si="6"/>
        <v>7546.95</v>
      </c>
      <c r="N39" s="107">
        <f t="shared" si="6"/>
        <v>4519.3500000000004</v>
      </c>
      <c r="O39" s="107">
        <f t="shared" si="6"/>
        <v>5388.37</v>
      </c>
      <c r="P39" s="107">
        <f t="shared" si="6"/>
        <v>5564.84</v>
      </c>
      <c r="Q39" s="107">
        <f t="shared" si="6"/>
        <v>7870.3499999999995</v>
      </c>
      <c r="R39" s="107">
        <f t="shared" si="6"/>
        <v>14125.62</v>
      </c>
      <c r="S39" s="107">
        <f t="shared" si="6"/>
        <v>9287.49</v>
      </c>
      <c r="T39" s="107">
        <f t="shared" si="6"/>
        <v>4160.7699999999995</v>
      </c>
      <c r="U39" s="107">
        <f t="shared" si="6"/>
        <v>4581.12</v>
      </c>
      <c r="V39" s="107">
        <f t="shared" si="6"/>
        <v>6363.54</v>
      </c>
      <c r="W39" s="107">
        <f t="shared" si="6"/>
        <v>7516.84</v>
      </c>
      <c r="X39" s="107">
        <f t="shared" si="6"/>
        <v>8846.89</v>
      </c>
      <c r="Y39" s="107">
        <f t="shared" si="6"/>
        <v>14662.529999999999</v>
      </c>
      <c r="Z39" s="107">
        <f t="shared" si="6"/>
        <v>11597.08</v>
      </c>
      <c r="AA39" s="107">
        <f t="shared" si="6"/>
        <v>8546.66</v>
      </c>
      <c r="AB39" s="107">
        <f t="shared" si="6"/>
        <v>5421.2</v>
      </c>
      <c r="AC39" s="107">
        <f t="shared" si="6"/>
        <v>6384.61</v>
      </c>
      <c r="AD39" s="107">
        <f t="shared" si="6"/>
        <v>8232.4500000000007</v>
      </c>
      <c r="AE39" s="107">
        <f t="shared" si="6"/>
        <v>12077</v>
      </c>
      <c r="AF39" s="107">
        <f t="shared" si="6"/>
        <v>13892.35</v>
      </c>
      <c r="AG39" s="107">
        <f t="shared" si="6"/>
        <v>0</v>
      </c>
      <c r="AH39" s="110">
        <f>SUM(C39:AG39)</f>
        <v>283801.92999999993</v>
      </c>
      <c r="AI39" s="59"/>
      <c r="AJ39" s="506" t="s">
        <v>76</v>
      </c>
      <c r="AK39" s="507"/>
      <c r="AL39" s="508">
        <f>SUM(AL33:AM38)</f>
        <v>275911.3</v>
      </c>
      <c r="AM39" s="509"/>
      <c r="AN39" s="273">
        <f>AL39-AH39+AL45+AM45+AL43</f>
        <v>13771.80000000005</v>
      </c>
    </row>
    <row r="40" spans="1:40" x14ac:dyDescent="0.3">
      <c r="A40" s="203"/>
      <c r="B40" s="194" t="s">
        <v>104</v>
      </c>
      <c r="C40" s="72">
        <f>C30</f>
        <v>9031.4699999999993</v>
      </c>
      <c r="D40" s="72">
        <f t="shared" ref="D40:AG40" si="7">D30</f>
        <v>25844.57</v>
      </c>
      <c r="E40" s="72">
        <f t="shared" si="7"/>
        <v>30262.55</v>
      </c>
      <c r="F40" s="72">
        <f t="shared" si="7"/>
        <v>16940.87</v>
      </c>
      <c r="G40" s="72">
        <f t="shared" si="7"/>
        <v>7412.25</v>
      </c>
      <c r="H40" s="72">
        <f t="shared" si="7"/>
        <v>4450.0600000000004</v>
      </c>
      <c r="I40" s="72">
        <f t="shared" si="7"/>
        <v>6223.78</v>
      </c>
      <c r="J40" s="72">
        <f t="shared" si="7"/>
        <v>8789.31</v>
      </c>
      <c r="K40" s="72">
        <f t="shared" si="7"/>
        <v>14356.29</v>
      </c>
      <c r="L40" s="72">
        <f t="shared" si="7"/>
        <v>7709.66</v>
      </c>
      <c r="M40" s="72">
        <f t="shared" si="7"/>
        <v>7546.71</v>
      </c>
      <c r="N40" s="72">
        <f t="shared" si="7"/>
        <v>4518.5600000000004</v>
      </c>
      <c r="O40" s="72">
        <f t="shared" si="7"/>
        <v>5387.32</v>
      </c>
      <c r="P40" s="72">
        <f t="shared" si="7"/>
        <v>5563.66</v>
      </c>
      <c r="Q40" s="72">
        <f t="shared" si="7"/>
        <v>7870.35</v>
      </c>
      <c r="R40" s="72">
        <f t="shared" si="7"/>
        <v>14125.62</v>
      </c>
      <c r="S40" s="72">
        <f t="shared" si="7"/>
        <v>9296.56</v>
      </c>
      <c r="T40" s="72">
        <f t="shared" si="7"/>
        <v>4160.7700000000004</v>
      </c>
      <c r="U40" s="72">
        <f t="shared" si="7"/>
        <v>4579.1099999999997</v>
      </c>
      <c r="V40" s="72">
        <f t="shared" si="7"/>
        <v>6364.04</v>
      </c>
      <c r="W40" s="72">
        <f t="shared" si="7"/>
        <v>7536.84</v>
      </c>
      <c r="X40" s="72">
        <f t="shared" si="7"/>
        <v>8844.89</v>
      </c>
      <c r="Y40" s="72">
        <f t="shared" si="7"/>
        <v>14668.53</v>
      </c>
      <c r="Z40" s="72">
        <f t="shared" si="7"/>
        <v>11554.09</v>
      </c>
      <c r="AA40" s="72">
        <f t="shared" si="7"/>
        <v>8547.6200000000008</v>
      </c>
      <c r="AB40" s="72">
        <f t="shared" si="7"/>
        <v>5421.2</v>
      </c>
      <c r="AC40" s="72">
        <f t="shared" si="7"/>
        <v>6384.25</v>
      </c>
      <c r="AD40" s="72">
        <f t="shared" si="7"/>
        <v>8232.4500000000007</v>
      </c>
      <c r="AE40" s="72">
        <f t="shared" si="7"/>
        <v>12058</v>
      </c>
      <c r="AF40" s="72">
        <f t="shared" si="7"/>
        <v>13892.35</v>
      </c>
      <c r="AG40" s="72">
        <f t="shared" si="7"/>
        <v>0</v>
      </c>
      <c r="AH40" s="111">
        <f t="shared" ref="AH40:AH41" si="8">SUM(C40:AG40)</f>
        <v>297573.73</v>
      </c>
      <c r="AJ40" s="59"/>
      <c r="AK40" s="59"/>
    </row>
    <row r="41" spans="1:40" ht="16.2" thickBot="1" x14ac:dyDescent="0.35">
      <c r="A41" s="204"/>
      <c r="B41" s="104" t="s">
        <v>103</v>
      </c>
      <c r="C41" s="133">
        <f>C39-C40</f>
        <v>-7754.44</v>
      </c>
      <c r="D41" s="133">
        <f>D39-D40</f>
        <v>-6069.7200000000012</v>
      </c>
      <c r="E41" s="133">
        <f>E39-E40</f>
        <v>6.8000000000029104</v>
      </c>
      <c r="F41" s="133">
        <f t="shared" ref="F41:AG41" si="9">F39-F40</f>
        <v>0.9500000000007276</v>
      </c>
      <c r="G41" s="133">
        <f t="shared" si="9"/>
        <v>-43.869999999999891</v>
      </c>
      <c r="H41" s="133">
        <f t="shared" si="9"/>
        <v>54.539999999999964</v>
      </c>
      <c r="I41" s="133">
        <f t="shared" si="9"/>
        <v>1.0000000000009095</v>
      </c>
      <c r="J41" s="133">
        <f t="shared" si="9"/>
        <v>-4.9999999999272404E-2</v>
      </c>
      <c r="K41" s="133">
        <f t="shared" si="9"/>
        <v>0</v>
      </c>
      <c r="L41" s="133">
        <f t="shared" si="9"/>
        <v>-9.9999999999454303E-2</v>
      </c>
      <c r="M41" s="133">
        <f t="shared" si="9"/>
        <v>0.23999999999978172</v>
      </c>
      <c r="N41" s="133">
        <f t="shared" si="9"/>
        <v>0.78999999999996362</v>
      </c>
      <c r="O41" s="133">
        <f t="shared" si="9"/>
        <v>1.0500000000001819</v>
      </c>
      <c r="P41" s="133">
        <f t="shared" si="9"/>
        <v>1.180000000000291</v>
      </c>
      <c r="Q41" s="133">
        <f t="shared" si="9"/>
        <v>0</v>
      </c>
      <c r="R41" s="133">
        <f t="shared" si="9"/>
        <v>0</v>
      </c>
      <c r="S41" s="133">
        <f t="shared" si="9"/>
        <v>-9.069999999999709</v>
      </c>
      <c r="T41" s="133">
        <f t="shared" si="9"/>
        <v>0</v>
      </c>
      <c r="U41" s="133">
        <f t="shared" si="9"/>
        <v>2.0100000000002183</v>
      </c>
      <c r="V41" s="133">
        <f t="shared" si="9"/>
        <v>-0.5</v>
      </c>
      <c r="W41" s="133">
        <f t="shared" si="9"/>
        <v>-20</v>
      </c>
      <c r="X41" s="133">
        <f t="shared" si="9"/>
        <v>2</v>
      </c>
      <c r="Y41" s="133">
        <f t="shared" si="9"/>
        <v>-6.000000000001819</v>
      </c>
      <c r="Z41" s="133">
        <f t="shared" si="9"/>
        <v>42.989999999999782</v>
      </c>
      <c r="AA41" s="133">
        <f t="shared" si="9"/>
        <v>-0.96000000000094587</v>
      </c>
      <c r="AB41" s="133">
        <f t="shared" si="9"/>
        <v>0</v>
      </c>
      <c r="AC41" s="133">
        <f t="shared" si="9"/>
        <v>0.35999999999967258</v>
      </c>
      <c r="AD41" s="133">
        <f t="shared" si="9"/>
        <v>0</v>
      </c>
      <c r="AE41" s="133">
        <f t="shared" si="9"/>
        <v>19</v>
      </c>
      <c r="AF41" s="133">
        <f t="shared" si="9"/>
        <v>0</v>
      </c>
      <c r="AG41" s="133">
        <f t="shared" si="9"/>
        <v>0</v>
      </c>
      <c r="AH41" s="112">
        <f t="shared" si="8"/>
        <v>-13771.799999999996</v>
      </c>
      <c r="AJ41" s="377">
        <f>AH39-AH40</f>
        <v>-13771.800000000047</v>
      </c>
      <c r="AK41" s="268"/>
      <c r="AL41" s="99"/>
    </row>
    <row r="42" spans="1:40" ht="16.2" thickBot="1" x14ac:dyDescent="0.35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2" thickBot="1" x14ac:dyDescent="0.35">
      <c r="A43" s="100"/>
      <c r="B43" s="101" t="s">
        <v>56</v>
      </c>
      <c r="C43" s="114">
        <f t="shared" ref="C43:AG43" si="10">SUM(C3:C28)-SUM(C33:C38)</f>
        <v>7754.44</v>
      </c>
      <c r="D43" s="114">
        <f t="shared" si="10"/>
        <v>6069.7200000000012</v>
      </c>
      <c r="E43" s="114">
        <f t="shared" si="10"/>
        <v>-6.8000000000029104</v>
      </c>
      <c r="F43" s="114">
        <f t="shared" si="10"/>
        <v>-0.9500000000007276</v>
      </c>
      <c r="G43" s="114">
        <f t="shared" si="10"/>
        <v>43.869999999998981</v>
      </c>
      <c r="H43" s="114">
        <f t="shared" si="10"/>
        <v>-54.539999999999964</v>
      </c>
      <c r="I43" s="114">
        <f t="shared" si="10"/>
        <v>-1</v>
      </c>
      <c r="J43" s="114">
        <f t="shared" si="10"/>
        <v>5.0000000001091394E-2</v>
      </c>
      <c r="K43" s="114">
        <f t="shared" si="10"/>
        <v>0</v>
      </c>
      <c r="L43" s="114">
        <f t="shared" si="10"/>
        <v>9.9999999999454303E-2</v>
      </c>
      <c r="M43" s="114">
        <f t="shared" si="10"/>
        <v>-0.24000000000069122</v>
      </c>
      <c r="N43" s="114">
        <f t="shared" si="10"/>
        <v>-0.79000000000087311</v>
      </c>
      <c r="O43" s="114">
        <f t="shared" si="10"/>
        <v>-1.0500000000001819</v>
      </c>
      <c r="P43" s="114">
        <f t="shared" si="10"/>
        <v>-1.180000000000291</v>
      </c>
      <c r="Q43" s="114">
        <f t="shared" si="10"/>
        <v>0</v>
      </c>
      <c r="R43" s="114">
        <f t="shared" si="10"/>
        <v>0</v>
      </c>
      <c r="S43" s="114">
        <f t="shared" si="10"/>
        <v>9.069999999999709</v>
      </c>
      <c r="T43" s="114">
        <f t="shared" si="10"/>
        <v>0</v>
      </c>
      <c r="U43" s="114">
        <f t="shared" si="10"/>
        <v>-2.0099999999993088</v>
      </c>
      <c r="V43" s="114">
        <f t="shared" si="10"/>
        <v>0.5</v>
      </c>
      <c r="W43" s="114">
        <f t="shared" si="10"/>
        <v>20</v>
      </c>
      <c r="X43" s="114">
        <f t="shared" si="10"/>
        <v>-2</v>
      </c>
      <c r="Y43" s="114">
        <f t="shared" si="10"/>
        <v>6.000000000001819</v>
      </c>
      <c r="Z43" s="114">
        <f t="shared" si="10"/>
        <v>-42.989999999999782</v>
      </c>
      <c r="AA43" s="114">
        <f t="shared" si="10"/>
        <v>0.96000000000094587</v>
      </c>
      <c r="AB43" s="114">
        <f t="shared" si="10"/>
        <v>0</v>
      </c>
      <c r="AC43" s="114">
        <f t="shared" si="10"/>
        <v>-0.35999999999967258</v>
      </c>
      <c r="AD43" s="114">
        <f t="shared" si="10"/>
        <v>0</v>
      </c>
      <c r="AE43" s="114">
        <f t="shared" si="10"/>
        <v>-19.000000000001819</v>
      </c>
      <c r="AF43" s="114">
        <f t="shared" si="10"/>
        <v>0</v>
      </c>
      <c r="AG43" s="114">
        <f t="shared" si="10"/>
        <v>0</v>
      </c>
      <c r="AH43" s="115">
        <f>SUM(C43:AG43)</f>
        <v>13771.799999999997</v>
      </c>
      <c r="AI43" s="62"/>
      <c r="AJ43" s="211" t="s">
        <v>32</v>
      </c>
      <c r="AK43" s="212" t="s">
        <v>90</v>
      </c>
      <c r="AL43" s="271">
        <f>AH43</f>
        <v>13771.799999999997</v>
      </c>
      <c r="AM43" s="272"/>
      <c r="AN43" s="274" t="s">
        <v>126</v>
      </c>
    </row>
    <row r="44" spans="1:40" s="102" customFormat="1" ht="16.2" thickBot="1" x14ac:dyDescent="0.35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478">
        <f>AL39+AL43+AM43+AL45+AM45</f>
        <v>297573.73</v>
      </c>
      <c r="AN44" s="102">
        <f>AM44-AH29</f>
        <v>0</v>
      </c>
    </row>
    <row r="45" spans="1:40" s="99" customFormat="1" ht="16.2" thickBot="1" x14ac:dyDescent="0.35">
      <c r="A45" s="211" t="s">
        <v>196</v>
      </c>
      <c r="B45" s="101" t="s">
        <v>195</v>
      </c>
      <c r="C45" s="490">
        <v>249.5</v>
      </c>
      <c r="D45" s="488">
        <v>710.08</v>
      </c>
      <c r="E45" s="488">
        <v>833.66</v>
      </c>
      <c r="F45" s="488">
        <v>433.61</v>
      </c>
      <c r="G45" s="488">
        <v>201.41</v>
      </c>
      <c r="H45" s="488">
        <v>116.81</v>
      </c>
      <c r="I45" s="490">
        <v>160.4</v>
      </c>
      <c r="J45" s="488">
        <v>235.45</v>
      </c>
      <c r="K45" s="488">
        <v>365.54</v>
      </c>
      <c r="L45" s="488">
        <v>193.39</v>
      </c>
      <c r="M45" s="490">
        <v>208.3</v>
      </c>
      <c r="N45" s="488">
        <v>115.74</v>
      </c>
      <c r="O45" s="488">
        <v>136.66999999999999</v>
      </c>
      <c r="P45" s="488">
        <v>145.84</v>
      </c>
      <c r="Q45" s="488">
        <v>223.72</v>
      </c>
      <c r="R45" s="488">
        <v>383.98</v>
      </c>
      <c r="S45" s="488">
        <v>228.99</v>
      </c>
      <c r="T45" s="488">
        <v>110.66</v>
      </c>
      <c r="U45" s="488">
        <v>114.24</v>
      </c>
      <c r="V45" s="488">
        <v>168.72</v>
      </c>
      <c r="W45" s="488">
        <v>182.61</v>
      </c>
      <c r="X45" s="488">
        <v>242.99</v>
      </c>
      <c r="Y45" s="488">
        <v>387.48</v>
      </c>
      <c r="Z45" s="488">
        <v>293.29000000000002</v>
      </c>
      <c r="AA45" s="488">
        <v>229.1</v>
      </c>
      <c r="AB45" s="498">
        <v>149.12</v>
      </c>
      <c r="AC45" s="498">
        <v>163.51</v>
      </c>
      <c r="AD45" s="498">
        <v>212.62</v>
      </c>
      <c r="AE45" s="498">
        <v>320.35000000000002</v>
      </c>
      <c r="AF45" s="498">
        <v>372.85</v>
      </c>
      <c r="AG45" s="281"/>
      <c r="AH45" s="115">
        <f t="shared" ref="AH45" si="11">SUM(C45:AG45)</f>
        <v>7890.63</v>
      </c>
      <c r="AI45" s="62"/>
      <c r="AJ45" s="211" t="s">
        <v>196</v>
      </c>
      <c r="AK45" s="212" t="s">
        <v>197</v>
      </c>
      <c r="AL45" s="271">
        <f>SUM(C45:AA45)</f>
        <v>6672.1799999999994</v>
      </c>
      <c r="AM45" s="499">
        <f>SUM(AB45:AG45)</f>
        <v>1218.45</v>
      </c>
      <c r="AN45" s="274"/>
    </row>
    <row r="46" spans="1:40" s="102" customFormat="1" ht="16.2" thickBot="1" x14ac:dyDescent="0.35">
      <c r="A46" s="224"/>
      <c r="B46" s="225" t="s">
        <v>232</v>
      </c>
      <c r="C46" s="482">
        <f>C34-C45</f>
        <v>0</v>
      </c>
      <c r="D46" s="482">
        <f t="shared" ref="D46:AG46" si="12">D34-D45</f>
        <v>15862.72</v>
      </c>
      <c r="E46" s="482">
        <f t="shared" si="12"/>
        <v>25899.83</v>
      </c>
      <c r="F46" s="482">
        <f t="shared" si="12"/>
        <v>13470.51</v>
      </c>
      <c r="G46" s="482">
        <f t="shared" si="12"/>
        <v>6256.54</v>
      </c>
      <c r="H46" s="482">
        <f t="shared" si="12"/>
        <v>3630.86</v>
      </c>
      <c r="I46" s="482">
        <f t="shared" si="12"/>
        <v>4967.6600000000008</v>
      </c>
      <c r="J46" s="482">
        <f t="shared" si="12"/>
        <v>7191.6900000000005</v>
      </c>
      <c r="K46" s="482">
        <f t="shared" si="12"/>
        <v>11213.769999999999</v>
      </c>
      <c r="L46" s="482">
        <f t="shared" si="12"/>
        <v>5956.58</v>
      </c>
      <c r="M46" s="482">
        <f t="shared" si="12"/>
        <v>6460.8099999999995</v>
      </c>
      <c r="N46" s="482">
        <f t="shared" si="12"/>
        <v>3598.5200000000004</v>
      </c>
      <c r="O46" s="482">
        <f t="shared" si="12"/>
        <v>4162.0199999999995</v>
      </c>
      <c r="P46" s="482">
        <f t="shared" si="12"/>
        <v>4469.04</v>
      </c>
      <c r="Q46" s="482">
        <f t="shared" si="12"/>
        <v>6952.8499999999995</v>
      </c>
      <c r="R46" s="482">
        <f t="shared" si="12"/>
        <v>11896.380000000001</v>
      </c>
      <c r="S46" s="482">
        <f t="shared" si="12"/>
        <v>7117.2</v>
      </c>
      <c r="T46" s="482">
        <f t="shared" si="12"/>
        <v>3438.69</v>
      </c>
      <c r="U46" s="482">
        <f t="shared" si="12"/>
        <v>3377.26</v>
      </c>
      <c r="V46" s="482">
        <f t="shared" si="12"/>
        <v>5174.58</v>
      </c>
      <c r="W46" s="482">
        <f t="shared" si="12"/>
        <v>5675.9400000000005</v>
      </c>
      <c r="X46" s="482">
        <f t="shared" si="12"/>
        <v>7551.77</v>
      </c>
      <c r="Y46" s="482">
        <f t="shared" si="12"/>
        <v>12014.4</v>
      </c>
      <c r="Z46" s="482">
        <f t="shared" si="12"/>
        <v>9082.869999999999</v>
      </c>
      <c r="AA46" s="482">
        <f t="shared" si="12"/>
        <v>7065.8899999999994</v>
      </c>
      <c r="AB46" s="482">
        <f t="shared" si="12"/>
        <v>4543.33</v>
      </c>
      <c r="AC46" s="482">
        <f t="shared" si="12"/>
        <v>5064.49</v>
      </c>
      <c r="AD46" s="482">
        <f t="shared" si="12"/>
        <v>6608.33</v>
      </c>
      <c r="AE46" s="482">
        <f t="shared" si="12"/>
        <v>9876.25</v>
      </c>
      <c r="AF46" s="482">
        <f t="shared" si="12"/>
        <v>11567.3</v>
      </c>
      <c r="AG46" s="482">
        <f t="shared" si="12"/>
        <v>0</v>
      </c>
      <c r="AH46" s="226"/>
      <c r="AI46" s="62"/>
      <c r="AJ46" s="224"/>
      <c r="AK46" s="225"/>
      <c r="AL46" s="99"/>
    </row>
    <row r="47" spans="1:40" x14ac:dyDescent="0.3">
      <c r="A47" s="126"/>
      <c r="B47" s="213" t="s">
        <v>57</v>
      </c>
      <c r="C47" s="84">
        <v>425</v>
      </c>
      <c r="D47" s="84">
        <v>1148</v>
      </c>
      <c r="E47" s="84">
        <v>1353</v>
      </c>
      <c r="F47" s="84">
        <v>841</v>
      </c>
      <c r="G47" s="84">
        <v>327</v>
      </c>
      <c r="H47" s="84">
        <v>218</v>
      </c>
      <c r="I47" s="84">
        <v>303</v>
      </c>
      <c r="J47" s="84">
        <v>399</v>
      </c>
      <c r="K47" s="84">
        <v>691</v>
      </c>
      <c r="L47" s="84">
        <v>334</v>
      </c>
      <c r="M47" s="84">
        <v>314</v>
      </c>
      <c r="N47" s="84">
        <v>215</v>
      </c>
      <c r="O47" s="84">
        <v>208</v>
      </c>
      <c r="P47" s="84">
        <v>240</v>
      </c>
      <c r="Q47" s="84">
        <v>333</v>
      </c>
      <c r="R47" s="84">
        <v>600</v>
      </c>
      <c r="S47" s="84">
        <v>399</v>
      </c>
      <c r="T47" s="84">
        <v>166</v>
      </c>
      <c r="U47" s="84">
        <v>210</v>
      </c>
      <c r="V47" s="84">
        <v>292</v>
      </c>
      <c r="W47" s="84">
        <v>332</v>
      </c>
      <c r="X47" s="84">
        <v>392</v>
      </c>
      <c r="Y47" s="84">
        <v>684</v>
      </c>
      <c r="Z47" s="84">
        <v>518</v>
      </c>
      <c r="AA47" s="84">
        <v>319</v>
      </c>
      <c r="AB47" s="84">
        <v>227</v>
      </c>
      <c r="AC47" s="84">
        <v>306</v>
      </c>
      <c r="AD47" s="84">
        <v>367</v>
      </c>
      <c r="AE47" s="84">
        <v>494</v>
      </c>
      <c r="AF47" s="84">
        <v>626</v>
      </c>
      <c r="AG47" s="84"/>
      <c r="AH47" s="103">
        <f>SUM(C47:AG47)</f>
        <v>13281</v>
      </c>
      <c r="AJ47" s="126">
        <f>AH47</f>
        <v>13281</v>
      </c>
      <c r="AK47" s="218" t="s">
        <v>57</v>
      </c>
      <c r="AL47" s="102"/>
      <c r="AM47" s="102"/>
      <c r="AN47" s="102"/>
    </row>
    <row r="48" spans="1:40" ht="16.2" thickBot="1" x14ac:dyDescent="0.35">
      <c r="A48" s="135"/>
      <c r="B48" s="214" t="s">
        <v>58</v>
      </c>
      <c r="C48" s="94">
        <v>70</v>
      </c>
      <c r="D48" s="94">
        <v>110</v>
      </c>
      <c r="E48" s="94">
        <v>131</v>
      </c>
      <c r="F48" s="94">
        <v>108</v>
      </c>
      <c r="G48" s="94">
        <v>70</v>
      </c>
      <c r="H48" s="94">
        <v>47</v>
      </c>
      <c r="I48" s="94">
        <v>83</v>
      </c>
      <c r="J48" s="94">
        <v>80</v>
      </c>
      <c r="K48" s="94">
        <v>105</v>
      </c>
      <c r="L48" s="94">
        <v>73</v>
      </c>
      <c r="M48" s="94">
        <v>77</v>
      </c>
      <c r="N48" s="94">
        <v>44</v>
      </c>
      <c r="O48" s="94">
        <v>75</v>
      </c>
      <c r="P48" s="94">
        <v>70</v>
      </c>
      <c r="Q48" s="94">
        <v>74</v>
      </c>
      <c r="R48" s="94">
        <v>110</v>
      </c>
      <c r="S48" s="94">
        <v>109</v>
      </c>
      <c r="T48" s="94">
        <v>41</v>
      </c>
      <c r="U48" s="94">
        <v>33</v>
      </c>
      <c r="V48" s="94">
        <v>47</v>
      </c>
      <c r="W48" s="94">
        <v>69</v>
      </c>
      <c r="X48" s="94">
        <v>86</v>
      </c>
      <c r="Y48" s="94">
        <v>96</v>
      </c>
      <c r="Z48" s="94">
        <v>98</v>
      </c>
      <c r="AA48" s="94">
        <v>60</v>
      </c>
      <c r="AB48" s="94">
        <v>63</v>
      </c>
      <c r="AC48" s="94">
        <v>75</v>
      </c>
      <c r="AD48" s="94">
        <v>76</v>
      </c>
      <c r="AE48" s="94">
        <v>85</v>
      </c>
      <c r="AF48" s="94">
        <v>88</v>
      </c>
      <c r="AG48" s="94"/>
      <c r="AH48" s="105">
        <f>SUM(C48:AG48)</f>
        <v>2353</v>
      </c>
      <c r="AJ48" s="135">
        <f>AH48</f>
        <v>2353</v>
      </c>
      <c r="AK48" s="219" t="s">
        <v>58</v>
      </c>
    </row>
    <row r="49" spans="1:37" ht="16.2" thickBot="1" x14ac:dyDescent="0.35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2" thickBot="1" x14ac:dyDescent="0.35">
      <c r="A50" s="211"/>
      <c r="B50" s="212" t="s">
        <v>106</v>
      </c>
      <c r="C50" s="212">
        <f>C47+C48</f>
        <v>495</v>
      </c>
      <c r="D50" s="212">
        <f t="shared" ref="D50:AG50" si="13">D47+D48</f>
        <v>1258</v>
      </c>
      <c r="E50" s="212">
        <f t="shared" si="13"/>
        <v>1484</v>
      </c>
      <c r="F50" s="212">
        <f t="shared" si="13"/>
        <v>949</v>
      </c>
      <c r="G50" s="212">
        <f t="shared" si="13"/>
        <v>397</v>
      </c>
      <c r="H50" s="212">
        <f t="shared" si="13"/>
        <v>265</v>
      </c>
      <c r="I50" s="212">
        <f t="shared" si="13"/>
        <v>386</v>
      </c>
      <c r="J50" s="212">
        <f t="shared" si="13"/>
        <v>479</v>
      </c>
      <c r="K50" s="212">
        <f t="shared" si="13"/>
        <v>796</v>
      </c>
      <c r="L50" s="212">
        <f t="shared" si="13"/>
        <v>407</v>
      </c>
      <c r="M50" s="212">
        <f t="shared" si="13"/>
        <v>391</v>
      </c>
      <c r="N50" s="212">
        <f t="shared" si="13"/>
        <v>259</v>
      </c>
      <c r="O50" s="212">
        <f t="shared" si="13"/>
        <v>283</v>
      </c>
      <c r="P50" s="212">
        <f t="shared" si="13"/>
        <v>310</v>
      </c>
      <c r="Q50" s="212">
        <f t="shared" si="13"/>
        <v>407</v>
      </c>
      <c r="R50" s="212">
        <f t="shared" si="13"/>
        <v>710</v>
      </c>
      <c r="S50" s="212">
        <f t="shared" si="13"/>
        <v>508</v>
      </c>
      <c r="T50" s="212">
        <f t="shared" si="13"/>
        <v>207</v>
      </c>
      <c r="U50" s="212">
        <f t="shared" si="13"/>
        <v>243</v>
      </c>
      <c r="V50" s="212">
        <f t="shared" si="13"/>
        <v>339</v>
      </c>
      <c r="W50" s="212">
        <f t="shared" si="13"/>
        <v>401</v>
      </c>
      <c r="X50" s="212">
        <f t="shared" si="13"/>
        <v>478</v>
      </c>
      <c r="Y50" s="212">
        <f t="shared" si="13"/>
        <v>780</v>
      </c>
      <c r="Z50" s="212">
        <f t="shared" si="13"/>
        <v>616</v>
      </c>
      <c r="AA50" s="212">
        <f t="shared" si="13"/>
        <v>379</v>
      </c>
      <c r="AB50" s="212">
        <f t="shared" si="13"/>
        <v>290</v>
      </c>
      <c r="AC50" s="212">
        <f t="shared" si="13"/>
        <v>381</v>
      </c>
      <c r="AD50" s="212">
        <f t="shared" si="13"/>
        <v>443</v>
      </c>
      <c r="AE50" s="212">
        <f t="shared" si="13"/>
        <v>579</v>
      </c>
      <c r="AF50" s="212">
        <f t="shared" si="13"/>
        <v>714</v>
      </c>
      <c r="AG50" s="281">
        <f t="shared" si="13"/>
        <v>0</v>
      </c>
      <c r="AH50" s="280">
        <f>SUM(C50:AG50)</f>
        <v>15634</v>
      </c>
      <c r="AJ50" s="211">
        <f>AH50</f>
        <v>15634</v>
      </c>
      <c r="AK50" s="220" t="s">
        <v>106</v>
      </c>
    </row>
    <row r="51" spans="1:37" ht="16.2" thickBot="1" x14ac:dyDescent="0.35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2" thickBot="1" x14ac:dyDescent="0.35">
      <c r="A52" s="211"/>
      <c r="B52" s="212" t="s">
        <v>105</v>
      </c>
      <c r="C52" s="215">
        <f>IF(C50&lt;=1,0,IF(C50&gt;=0,(SUM(C4+C5)/C50)))</f>
        <v>15.661010101010101</v>
      </c>
      <c r="D52" s="215">
        <f t="shared" ref="D52:AG52" si="14">IF(D50&lt;=1,0,IF(D50&gt;=0,(SUM(D4+D5)/D50)))</f>
        <v>16.957392686804454</v>
      </c>
      <c r="E52" s="215">
        <f t="shared" si="14"/>
        <v>17.341509433962262</v>
      </c>
      <c r="F52" s="215">
        <f t="shared" si="14"/>
        <v>14.639831401475238</v>
      </c>
      <c r="G52" s="215">
        <f t="shared" si="14"/>
        <v>14.535012594458438</v>
      </c>
      <c r="H52" s="215">
        <f t="shared" si="14"/>
        <v>13.889811320754717</v>
      </c>
      <c r="I52" s="215">
        <f t="shared" si="14"/>
        <v>13.718134715025906</v>
      </c>
      <c r="J52" s="215">
        <f t="shared" si="14"/>
        <v>14.896033402922756</v>
      </c>
      <c r="K52" s="215">
        <f t="shared" si="14"/>
        <v>15.912311557788946</v>
      </c>
      <c r="L52" s="215">
        <f t="shared" si="14"/>
        <v>14.500737100737101</v>
      </c>
      <c r="M52" s="215">
        <f t="shared" si="14"/>
        <v>15.074168797953964</v>
      </c>
      <c r="N52" s="215">
        <f t="shared" si="14"/>
        <v>15.808494208494208</v>
      </c>
      <c r="O52" s="215">
        <f t="shared" si="14"/>
        <v>12.893286219081272</v>
      </c>
      <c r="P52" s="215">
        <f t="shared" si="14"/>
        <v>14.940645161290323</v>
      </c>
      <c r="Q52" s="215">
        <f t="shared" si="14"/>
        <v>17.24029484029484</v>
      </c>
      <c r="R52" s="215">
        <f t="shared" si="14"/>
        <v>15.446760563380282</v>
      </c>
      <c r="S52" s="215">
        <f t="shared" si="14"/>
        <v>14.855118110236219</v>
      </c>
      <c r="T52" s="215">
        <f t="shared" si="14"/>
        <v>13.80096618357488</v>
      </c>
      <c r="U52" s="215">
        <f t="shared" si="14"/>
        <v>14.337448559670781</v>
      </c>
      <c r="V52" s="215">
        <f t="shared" si="14"/>
        <v>15.452507374631267</v>
      </c>
      <c r="W52" s="215">
        <f t="shared" si="14"/>
        <v>15.58354114713217</v>
      </c>
      <c r="X52" s="215">
        <f t="shared" si="14"/>
        <v>15.471966527196653</v>
      </c>
      <c r="Y52" s="215">
        <f t="shared" si="14"/>
        <v>16.778461538461539</v>
      </c>
      <c r="Z52" s="215">
        <f t="shared" si="14"/>
        <v>13.868181818181817</v>
      </c>
      <c r="AA52" s="215">
        <f t="shared" si="14"/>
        <v>14.424274406332454</v>
      </c>
      <c r="AB52" s="215">
        <f t="shared" si="14"/>
        <v>14.84551724137931</v>
      </c>
      <c r="AC52" s="215">
        <f t="shared" si="14"/>
        <v>14.136482939632545</v>
      </c>
      <c r="AD52" s="215">
        <f t="shared" si="14"/>
        <v>12.752144469525959</v>
      </c>
      <c r="AE52" s="215">
        <f t="shared" si="14"/>
        <v>15.392055267702936</v>
      </c>
      <c r="AF52" s="215">
        <f t="shared" si="14"/>
        <v>17.131092436974789</v>
      </c>
      <c r="AG52" s="215">
        <f t="shared" si="14"/>
        <v>0</v>
      </c>
      <c r="AH52" s="280">
        <f>IFERROR(AVERAGEIF(C52:AG52, "&lt;&gt;0"),)</f>
        <v>15.076173070868938</v>
      </c>
      <c r="AJ52" s="221">
        <f>AH52</f>
        <v>15.076173070868938</v>
      </c>
      <c r="AK52" s="222" t="s">
        <v>107</v>
      </c>
    </row>
    <row r="53" spans="1:37" ht="16.2" thickBot="1" x14ac:dyDescent="0.35"/>
    <row r="54" spans="1:37" ht="16.2" thickBot="1" x14ac:dyDescent="0.35">
      <c r="A54" s="211"/>
      <c r="B54" s="212" t="s">
        <v>117</v>
      </c>
      <c r="C54" s="242">
        <f>IF(C47&lt;=1,0,IF(C47&gt;=0,(SUM(C4+C5)/C47)))</f>
        <v>18.240470588235294</v>
      </c>
      <c r="D54" s="242">
        <f t="shared" ref="D54:AG54" si="15">IF(D47&lt;=1,0,IF(D47&gt;=0,(SUM(D4+D5)/D47)))</f>
        <v>18.582229965156795</v>
      </c>
      <c r="E54" s="242">
        <f t="shared" si="15"/>
        <v>19.020546932742054</v>
      </c>
      <c r="F54" s="242">
        <f t="shared" si="15"/>
        <v>16.519857312722948</v>
      </c>
      <c r="G54" s="242">
        <f t="shared" si="15"/>
        <v>17.646483180428135</v>
      </c>
      <c r="H54" s="242">
        <f t="shared" si="15"/>
        <v>16.884403669724772</v>
      </c>
      <c r="I54" s="242">
        <f t="shared" si="15"/>
        <v>17.475907590759075</v>
      </c>
      <c r="J54" s="242">
        <f t="shared" si="15"/>
        <v>17.882706766917291</v>
      </c>
      <c r="K54" s="242">
        <f t="shared" si="15"/>
        <v>18.330246020260493</v>
      </c>
      <c r="L54" s="242">
        <f t="shared" si="15"/>
        <v>17.670059880239521</v>
      </c>
      <c r="M54" s="242">
        <f t="shared" si="15"/>
        <v>18.770700636942674</v>
      </c>
      <c r="N54" s="242">
        <f t="shared" si="15"/>
        <v>19.04372093023256</v>
      </c>
      <c r="O54" s="242">
        <f t="shared" si="15"/>
        <v>17.542307692307695</v>
      </c>
      <c r="P54" s="242">
        <f t="shared" si="15"/>
        <v>19.298333333333336</v>
      </c>
      <c r="Q54" s="242">
        <f t="shared" si="15"/>
        <v>21.071471471471472</v>
      </c>
      <c r="R54" s="242">
        <f t="shared" si="15"/>
        <v>18.278666666666666</v>
      </c>
      <c r="S54" s="242">
        <f t="shared" si="15"/>
        <v>18.913283208020051</v>
      </c>
      <c r="T54" s="242">
        <f t="shared" si="15"/>
        <v>17.20963855421687</v>
      </c>
      <c r="U54" s="242">
        <f t="shared" si="15"/>
        <v>16.590476190476192</v>
      </c>
      <c r="V54" s="242">
        <f t="shared" si="15"/>
        <v>17.93972602739726</v>
      </c>
      <c r="W54" s="242">
        <f t="shared" si="15"/>
        <v>18.822289156626507</v>
      </c>
      <c r="X54" s="242">
        <f t="shared" si="15"/>
        <v>18.866326530612245</v>
      </c>
      <c r="Y54" s="242">
        <f t="shared" si="15"/>
        <v>19.133333333333333</v>
      </c>
      <c r="Z54" s="242">
        <f t="shared" si="15"/>
        <v>16.491891891891889</v>
      </c>
      <c r="AA54" s="242">
        <f t="shared" si="15"/>
        <v>17.137304075235111</v>
      </c>
      <c r="AB54" s="242">
        <f t="shared" si="15"/>
        <v>18.965638766519824</v>
      </c>
      <c r="AC54" s="242">
        <f t="shared" si="15"/>
        <v>17.601307189542485</v>
      </c>
      <c r="AD54" s="242">
        <f t="shared" si="15"/>
        <v>15.392915531335149</v>
      </c>
      <c r="AE54" s="242">
        <f t="shared" si="15"/>
        <v>18.040485829959515</v>
      </c>
      <c r="AF54" s="242">
        <f t="shared" si="15"/>
        <v>19.53929712460064</v>
      </c>
      <c r="AG54" s="242">
        <f t="shared" si="15"/>
        <v>0</v>
      </c>
      <c r="AH54" s="279">
        <f>IFERROR(AVERAGEIF(C54:AG54, "&lt;&gt;0"),)</f>
        <v>18.096734201596931</v>
      </c>
      <c r="AI54" s="243"/>
      <c r="AJ54" s="244">
        <f>AH54</f>
        <v>18.096734201596931</v>
      </c>
      <c r="AK54" s="222" t="s">
        <v>118</v>
      </c>
    </row>
    <row r="55" spans="1:37" ht="16.2" thickBot="1" x14ac:dyDescent="0.35"/>
    <row r="56" spans="1:37" ht="16.2" thickBot="1" x14ac:dyDescent="0.35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3">
      <c r="A57" s="90"/>
      <c r="B57" s="301" t="s">
        <v>132</v>
      </c>
      <c r="C57" s="91">
        <v>98</v>
      </c>
      <c r="D57" s="91"/>
      <c r="E57" s="91"/>
      <c r="F57" s="91"/>
      <c r="G57" s="91"/>
      <c r="H57" s="91">
        <v>98</v>
      </c>
      <c r="I57" s="91"/>
      <c r="J57" s="91">
        <v>98</v>
      </c>
      <c r="K57" s="91">
        <v>98</v>
      </c>
      <c r="L57" s="91">
        <v>98</v>
      </c>
      <c r="M57" s="91">
        <v>98</v>
      </c>
      <c r="N57" s="91">
        <v>98</v>
      </c>
      <c r="O57" s="91">
        <v>98</v>
      </c>
      <c r="P57" s="91">
        <v>97</v>
      </c>
      <c r="Q57" s="91">
        <v>98</v>
      </c>
      <c r="R57" s="91">
        <v>98</v>
      </c>
      <c r="S57" s="91">
        <v>98</v>
      </c>
      <c r="T57" s="91">
        <v>98</v>
      </c>
      <c r="U57" s="91">
        <v>98</v>
      </c>
      <c r="V57" s="91">
        <v>98</v>
      </c>
      <c r="W57" s="91">
        <v>98</v>
      </c>
      <c r="X57" s="91">
        <v>98</v>
      </c>
      <c r="Y57" s="91"/>
      <c r="Z57" s="91"/>
      <c r="AA57" s="91"/>
      <c r="AB57" s="91"/>
      <c r="AC57" s="91"/>
      <c r="AD57" s="91"/>
      <c r="AE57" s="91"/>
      <c r="AF57" s="91"/>
      <c r="AG57" s="91"/>
      <c r="AH57" s="302">
        <f>IFERROR(AVERAGEIF(C57:AG57,"&lt;&gt;0"),)</f>
        <v>97.941176470588232</v>
      </c>
      <c r="AJ57" s="303">
        <f>AH57</f>
        <v>97.941176470588232</v>
      </c>
      <c r="AK57" s="304" t="s">
        <v>133</v>
      </c>
    </row>
    <row r="58" spans="1:37" x14ac:dyDescent="0.3">
      <c r="A58" s="90"/>
      <c r="B58" s="301" t="s">
        <v>155</v>
      </c>
      <c r="C58" s="91">
        <v>88</v>
      </c>
      <c r="D58" s="91"/>
      <c r="E58" s="91"/>
      <c r="F58" s="91"/>
      <c r="G58" s="91"/>
      <c r="H58" s="91">
        <v>86</v>
      </c>
      <c r="I58" s="91"/>
      <c r="J58" s="91">
        <v>87</v>
      </c>
      <c r="K58" s="91">
        <v>92</v>
      </c>
      <c r="L58" s="91">
        <v>89</v>
      </c>
      <c r="M58" s="91">
        <v>90</v>
      </c>
      <c r="N58" s="91">
        <v>88</v>
      </c>
      <c r="O58" s="91">
        <v>86</v>
      </c>
      <c r="P58" s="91">
        <v>85</v>
      </c>
      <c r="Q58" s="91">
        <v>87</v>
      </c>
      <c r="R58" s="91">
        <v>87</v>
      </c>
      <c r="S58" s="91">
        <v>86</v>
      </c>
      <c r="T58" s="91">
        <v>89</v>
      </c>
      <c r="U58" s="91">
        <v>85</v>
      </c>
      <c r="V58" s="91">
        <v>81</v>
      </c>
      <c r="W58" s="91">
        <v>81</v>
      </c>
      <c r="X58" s="91">
        <v>87</v>
      </c>
      <c r="Y58" s="91"/>
      <c r="Z58" s="91"/>
      <c r="AA58" s="91"/>
      <c r="AB58" s="91"/>
      <c r="AC58" s="91"/>
      <c r="AD58" s="91"/>
      <c r="AE58" s="91"/>
      <c r="AF58" s="91"/>
      <c r="AG58" s="91"/>
      <c r="AH58" s="302">
        <f t="shared" ref="AH58:AH60" si="16">IFERROR(AVERAGEIF(C58:AG58,"&lt;&gt;0"),)</f>
        <v>86.705882352941174</v>
      </c>
      <c r="AJ58" s="305">
        <f>AH58</f>
        <v>86.705882352941174</v>
      </c>
      <c r="AK58" s="306" t="s">
        <v>134</v>
      </c>
    </row>
    <row r="59" spans="1:37" x14ac:dyDescent="0.3">
      <c r="A59" s="90"/>
      <c r="B59" s="301" t="s">
        <v>135</v>
      </c>
      <c r="C59" s="301">
        <v>82</v>
      </c>
      <c r="D59" s="301"/>
      <c r="E59" s="301"/>
      <c r="F59" s="301"/>
      <c r="G59" s="301"/>
      <c r="H59" s="301">
        <v>82</v>
      </c>
      <c r="I59" s="301"/>
      <c r="J59" s="301">
        <v>84</v>
      </c>
      <c r="K59" s="301">
        <v>79</v>
      </c>
      <c r="L59" s="301">
        <v>80</v>
      </c>
      <c r="M59" s="301">
        <v>79</v>
      </c>
      <c r="N59" s="301">
        <v>79</v>
      </c>
      <c r="O59" s="301">
        <v>78</v>
      </c>
      <c r="P59" s="301">
        <v>79</v>
      </c>
      <c r="Q59" s="301">
        <v>81</v>
      </c>
      <c r="R59" s="301">
        <v>84</v>
      </c>
      <c r="S59" s="301">
        <v>84</v>
      </c>
      <c r="T59" s="301">
        <v>86</v>
      </c>
      <c r="U59" s="301">
        <v>85</v>
      </c>
      <c r="V59" s="301">
        <v>85</v>
      </c>
      <c r="W59" s="301">
        <v>79</v>
      </c>
      <c r="X59" s="301">
        <v>76</v>
      </c>
      <c r="Y59" s="301"/>
      <c r="Z59" s="301"/>
      <c r="AA59" s="301"/>
      <c r="AB59" s="301"/>
      <c r="AC59" s="301"/>
      <c r="AD59" s="301"/>
      <c r="AE59" s="301"/>
      <c r="AF59" s="301"/>
      <c r="AG59" s="301"/>
      <c r="AH59" s="302">
        <f t="shared" si="16"/>
        <v>81.294117647058826</v>
      </c>
      <c r="AJ59" s="305">
        <f>AH59</f>
        <v>81.294117647058826</v>
      </c>
      <c r="AK59" s="306" t="s">
        <v>136</v>
      </c>
    </row>
    <row r="60" spans="1:37" ht="16.2" thickBot="1" x14ac:dyDescent="0.35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ColWidth="9.109375" defaultRowHeight="14.4" x14ac:dyDescent="0.3"/>
  <cols>
    <col min="1" max="1" width="8.10937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6640625" style="59" customWidth="1"/>
    <col min="11" max="11" width="4" style="59" bestFit="1" customWidth="1"/>
    <col min="12" max="13" width="3.6640625" style="59" bestFit="1" customWidth="1"/>
    <col min="14" max="14" width="1.6640625" style="59" customWidth="1"/>
    <col min="15" max="15" width="6" style="59" bestFit="1" customWidth="1"/>
    <col min="16" max="16384" width="9.109375" style="59"/>
  </cols>
  <sheetData>
    <row r="1" spans="1:15" ht="84.75" customHeight="1" thickBot="1" x14ac:dyDescent="0.35">
      <c r="A1" s="513"/>
      <c r="B1" s="514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3">
      <c r="A2" s="320">
        <f>'Cash Flow'!A8</f>
        <v>45170</v>
      </c>
      <c r="B2" s="355" t="str">
        <f>TEXT(A2,"ddd")</f>
        <v>Fri</v>
      </c>
      <c r="C2" s="321">
        <f>TRANSPOSE(Pool!C4:AG4)</f>
        <v>7752.2</v>
      </c>
      <c r="D2" s="321">
        <f t="array" ref="D2:D32">TRANSPOSE(Pool!C9:AG9)</f>
        <v>0</v>
      </c>
      <c r="E2" s="321">
        <f t="array" ref="E2:E32">TRANSPOSE(Pool!C14:AG14)</f>
        <v>28</v>
      </c>
      <c r="F2" s="321">
        <f t="array" ref="F2:F32">TRANSPOSE(Pool!C15:AG15)</f>
        <v>449.62</v>
      </c>
      <c r="G2" s="321">
        <f t="array" ref="G2:G32">TRANSPOSE(Pool!C16:AG16)</f>
        <v>0</v>
      </c>
      <c r="H2" s="321">
        <f>TRANSPOSE(Pool!C18:AG18)</f>
        <v>24</v>
      </c>
      <c r="I2" s="324">
        <f t="array" ref="I2:I32">TRANSPOSE(Pool!C20:AG20)</f>
        <v>0</v>
      </c>
      <c r="J2" s="327"/>
      <c r="K2" s="328">
        <f t="array" ref="K2:K32">TRANSPOSE(Pool!C57:AG57)</f>
        <v>98</v>
      </c>
      <c r="L2" s="331">
        <f t="array" ref="L2:L32">TRANSPOSE(Pool!C58:AG58)</f>
        <v>88</v>
      </c>
      <c r="M2" s="334">
        <f t="array" ref="M2:M32">TRANSPOSE(Pool!C59:AG59)</f>
        <v>82</v>
      </c>
      <c r="N2" s="327"/>
      <c r="O2" s="338">
        <f t="array" ref="O2:O32">TRANSPOSE(Pool!C50:AG50)</f>
        <v>495</v>
      </c>
    </row>
    <row r="3" spans="1:15" x14ac:dyDescent="0.3">
      <c r="A3" s="341">
        <f t="shared" ref="A3:A32" si="0">SUM(A2+1)</f>
        <v>45171</v>
      </c>
      <c r="B3" s="356" t="str">
        <f>TEXT(A3,"ddd")</f>
        <v>Sat</v>
      </c>
      <c r="C3" s="322">
        <f>TRANSPOSE(Pool!C9:AG9)</f>
        <v>0</v>
      </c>
      <c r="D3" s="322">
        <v>800</v>
      </c>
      <c r="E3" s="322">
        <v>76</v>
      </c>
      <c r="F3" s="322">
        <v>1323.33</v>
      </c>
      <c r="G3" s="322">
        <v>0</v>
      </c>
      <c r="H3" s="322">
        <f>TRANSPOSE(Pool!C19:AG19)</f>
        <v>0</v>
      </c>
      <c r="I3" s="325">
        <v>0</v>
      </c>
      <c r="J3" s="327"/>
      <c r="K3" s="329">
        <v>0</v>
      </c>
      <c r="L3" s="332">
        <v>0</v>
      </c>
      <c r="M3" s="335">
        <v>0</v>
      </c>
      <c r="N3" s="327"/>
      <c r="O3" s="339">
        <v>1258</v>
      </c>
    </row>
    <row r="4" spans="1:15" x14ac:dyDescent="0.3">
      <c r="A4" s="341">
        <f t="shared" si="0"/>
        <v>45172</v>
      </c>
      <c r="B4" s="356" t="str">
        <f>TEXT(A4,"DDD")</f>
        <v>Sun</v>
      </c>
      <c r="C4" s="322">
        <f>TRANSPOSE(Pool!C5:AG5)</f>
        <v>0</v>
      </c>
      <c r="D4" s="322">
        <v>1243</v>
      </c>
      <c r="E4" s="322">
        <v>179</v>
      </c>
      <c r="F4" s="322">
        <v>1110.8699999999999</v>
      </c>
      <c r="G4" s="322">
        <v>0</v>
      </c>
      <c r="H4" s="322">
        <f>TRANSPOSE(Pool!C21:AG21)</f>
        <v>0</v>
      </c>
      <c r="I4" s="325">
        <v>180</v>
      </c>
      <c r="J4" s="327"/>
      <c r="K4" s="329">
        <v>0</v>
      </c>
      <c r="L4" s="332">
        <v>0</v>
      </c>
      <c r="M4" s="335">
        <v>0</v>
      </c>
      <c r="N4" s="327"/>
      <c r="O4" s="339">
        <v>1484</v>
      </c>
    </row>
    <row r="5" spans="1:15" x14ac:dyDescent="0.3">
      <c r="A5" s="341">
        <f t="shared" si="0"/>
        <v>45173</v>
      </c>
      <c r="B5" s="356" t="str">
        <f>TEXT(A5,"ddd")</f>
        <v>Mon</v>
      </c>
      <c r="C5" s="322">
        <f>TRANSPOSE(Pool!C6:AG6)</f>
        <v>0</v>
      </c>
      <c r="D5" s="322">
        <v>769</v>
      </c>
      <c r="E5" s="322">
        <v>304</v>
      </c>
      <c r="F5" s="322">
        <v>482.98</v>
      </c>
      <c r="G5" s="322">
        <v>0</v>
      </c>
      <c r="H5" s="322">
        <f>TRANSPOSE(Pool!C20:AG20)</f>
        <v>0</v>
      </c>
      <c r="I5" s="325">
        <v>0</v>
      </c>
      <c r="J5" s="327"/>
      <c r="K5" s="329">
        <v>0</v>
      </c>
      <c r="L5" s="332">
        <v>0</v>
      </c>
      <c r="M5" s="335">
        <v>0</v>
      </c>
      <c r="N5" s="327"/>
      <c r="O5" s="339">
        <v>949</v>
      </c>
    </row>
    <row r="6" spans="1:15" x14ac:dyDescent="0.3">
      <c r="A6" s="341">
        <f t="shared" si="0"/>
        <v>45174</v>
      </c>
      <c r="B6" s="356" t="str">
        <f>TEXT(A6,"DDD")</f>
        <v>Tue</v>
      </c>
      <c r="C6" s="322">
        <f>TRANSPOSE(Pool!C7:AG7)</f>
        <v>720</v>
      </c>
      <c r="D6" s="322">
        <v>0</v>
      </c>
      <c r="E6" s="322">
        <v>52</v>
      </c>
      <c r="F6" s="322">
        <v>124.48</v>
      </c>
      <c r="G6" s="322">
        <v>0</v>
      </c>
      <c r="H6" s="322">
        <f>TRANSPOSE(Pool!C22:AG22)</f>
        <v>0</v>
      </c>
      <c r="I6" s="325">
        <v>0</v>
      </c>
      <c r="J6" s="327"/>
      <c r="K6" s="329">
        <v>0</v>
      </c>
      <c r="L6" s="332">
        <v>0</v>
      </c>
      <c r="M6" s="335">
        <v>0</v>
      </c>
      <c r="N6" s="327"/>
      <c r="O6" s="339">
        <v>397</v>
      </c>
    </row>
    <row r="7" spans="1:15" x14ac:dyDescent="0.3">
      <c r="A7" s="341">
        <f t="shared" si="0"/>
        <v>45175</v>
      </c>
      <c r="B7" s="356" t="str">
        <f>TEXT(A7,"ddd")</f>
        <v>Wed</v>
      </c>
      <c r="C7" s="322">
        <f>TRANSPOSE(Pool!C8:AG8)</f>
        <v>0</v>
      </c>
      <c r="D7" s="322">
        <v>0</v>
      </c>
      <c r="E7" s="322">
        <v>56</v>
      </c>
      <c r="F7" s="322">
        <v>102.93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>
        <v>86</v>
      </c>
      <c r="M7" s="335">
        <v>82</v>
      </c>
      <c r="N7" s="327"/>
      <c r="O7" s="339">
        <v>265</v>
      </c>
    </row>
    <row r="8" spans="1:15" x14ac:dyDescent="0.3">
      <c r="A8" s="341">
        <f t="shared" si="0"/>
        <v>45176</v>
      </c>
      <c r="B8" s="356" t="str">
        <f>TEXT(A8,"DDD")</f>
        <v>Thu</v>
      </c>
      <c r="C8" s="322">
        <f>TRANSPOSE(Pool!C10:AG10)</f>
        <v>0</v>
      </c>
      <c r="D8" s="322">
        <v>0</v>
      </c>
      <c r="E8" s="322">
        <v>56</v>
      </c>
      <c r="F8" s="322">
        <v>277.72000000000003</v>
      </c>
      <c r="G8" s="322">
        <v>0</v>
      </c>
      <c r="H8" s="322">
        <f>TRANSPOSE(Pool!C24:AG24)</f>
        <v>0</v>
      </c>
      <c r="I8" s="325">
        <v>0</v>
      </c>
      <c r="J8" s="327"/>
      <c r="K8" s="329">
        <v>0</v>
      </c>
      <c r="L8" s="332">
        <v>0</v>
      </c>
      <c r="M8" s="335">
        <v>0</v>
      </c>
      <c r="N8" s="327"/>
      <c r="O8" s="339">
        <v>386</v>
      </c>
    </row>
    <row r="9" spans="1:15" x14ac:dyDescent="0.3">
      <c r="A9" s="341">
        <f t="shared" si="0"/>
        <v>45177</v>
      </c>
      <c r="B9" s="356" t="str">
        <f>TEXT(A9,"ddd")</f>
        <v>Fri</v>
      </c>
      <c r="C9" s="322">
        <f>TRANSPOSE(Pool!C11:AG11)</f>
        <v>0</v>
      </c>
      <c r="D9" s="322">
        <v>0</v>
      </c>
      <c r="E9" s="322">
        <v>184</v>
      </c>
      <c r="F9" s="322">
        <v>287.32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>
        <v>87</v>
      </c>
      <c r="M9" s="336">
        <v>84</v>
      </c>
      <c r="N9" s="327"/>
      <c r="O9" s="339">
        <v>479</v>
      </c>
    </row>
    <row r="10" spans="1:15" x14ac:dyDescent="0.3">
      <c r="A10" s="341">
        <f t="shared" si="0"/>
        <v>45178</v>
      </c>
      <c r="B10" s="356" t="str">
        <f>TEXT(A10,"DDD")</f>
        <v>Sat</v>
      </c>
      <c r="C10" s="322">
        <f>TRANSPOSE(Pool!C12:AG12)</f>
        <v>0</v>
      </c>
      <c r="D10" s="322">
        <v>0</v>
      </c>
      <c r="E10" s="322">
        <v>68</v>
      </c>
      <c r="F10" s="322">
        <v>352.21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>
        <v>92</v>
      </c>
      <c r="M10" s="335">
        <v>79</v>
      </c>
      <c r="N10" s="327"/>
      <c r="O10" s="339">
        <v>796</v>
      </c>
    </row>
    <row r="11" spans="1:15" x14ac:dyDescent="0.3">
      <c r="A11" s="341">
        <f t="shared" si="0"/>
        <v>45179</v>
      </c>
      <c r="B11" s="356" t="str">
        <f>TEXT(A11,"ddd")</f>
        <v>Sun</v>
      </c>
      <c r="C11" s="322">
        <f>TRANSPOSE(Pool!C13:AG13)</f>
        <v>0</v>
      </c>
      <c r="D11" s="322">
        <v>0</v>
      </c>
      <c r="E11" s="322">
        <v>80</v>
      </c>
      <c r="F11" s="322">
        <v>209.3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>
        <v>89</v>
      </c>
      <c r="M11" s="335">
        <v>80</v>
      </c>
      <c r="N11" s="327"/>
      <c r="O11" s="339">
        <v>407</v>
      </c>
    </row>
    <row r="12" spans="1:15" x14ac:dyDescent="0.3">
      <c r="A12" s="341">
        <f t="shared" si="0"/>
        <v>45180</v>
      </c>
      <c r="B12" s="356" t="str">
        <f>TEXT(A12,"DDD")</f>
        <v>Mon</v>
      </c>
      <c r="C12" s="322">
        <f>TRANSPOSE(Pool!C14:AG14)</f>
        <v>28</v>
      </c>
      <c r="D12" s="322">
        <v>0</v>
      </c>
      <c r="E12" s="322">
        <v>36</v>
      </c>
      <c r="F12" s="322">
        <v>267.44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98</v>
      </c>
      <c r="L12" s="332">
        <v>90</v>
      </c>
      <c r="M12" s="335">
        <v>79</v>
      </c>
      <c r="N12" s="327"/>
      <c r="O12" s="339">
        <v>391</v>
      </c>
    </row>
    <row r="13" spans="1:15" x14ac:dyDescent="0.3">
      <c r="A13" s="341">
        <f t="shared" si="0"/>
        <v>45181</v>
      </c>
      <c r="B13" s="356" t="str">
        <f>TEXT(A13,"ddd")</f>
        <v>Tue</v>
      </c>
      <c r="C13" s="322">
        <f>TRANSPOSE(Pool!C15:AG15)</f>
        <v>449.62</v>
      </c>
      <c r="D13" s="322">
        <v>0</v>
      </c>
      <c r="E13" s="322">
        <v>35</v>
      </c>
      <c r="F13" s="322">
        <v>176.41</v>
      </c>
      <c r="G13" s="322">
        <v>0</v>
      </c>
      <c r="H13" s="322">
        <f>TRANSPOSE(Pool!C29:AG29)</f>
        <v>4450.0600000000004</v>
      </c>
      <c r="I13" s="325">
        <v>0</v>
      </c>
      <c r="J13" s="327"/>
      <c r="K13" s="329">
        <v>98</v>
      </c>
      <c r="L13" s="332">
        <v>88</v>
      </c>
      <c r="M13" s="335">
        <v>79</v>
      </c>
      <c r="N13" s="327"/>
      <c r="O13" s="339">
        <v>259</v>
      </c>
    </row>
    <row r="14" spans="1:15" x14ac:dyDescent="0.3">
      <c r="A14" s="341">
        <f t="shared" si="0"/>
        <v>45182</v>
      </c>
      <c r="B14" s="356" t="str">
        <f>TEXT(A14,"DDD")</f>
        <v>Wed</v>
      </c>
      <c r="C14" s="322">
        <f>TRANSPOSE(Pool!C16:AG16)</f>
        <v>0</v>
      </c>
      <c r="D14" s="322">
        <v>0</v>
      </c>
      <c r="E14" s="322">
        <v>100</v>
      </c>
      <c r="F14" s="322">
        <v>270.77999999999997</v>
      </c>
      <c r="G14" s="322">
        <v>0</v>
      </c>
      <c r="H14" s="322">
        <f>TRANSPOSE(Pool!C30:AG30)</f>
        <v>4450.0600000000004</v>
      </c>
      <c r="I14" s="325">
        <v>0</v>
      </c>
      <c r="J14" s="327"/>
      <c r="K14" s="329">
        <v>98</v>
      </c>
      <c r="L14" s="332">
        <v>86</v>
      </c>
      <c r="M14" s="335">
        <v>78</v>
      </c>
      <c r="N14" s="327"/>
      <c r="O14" s="339">
        <v>283</v>
      </c>
    </row>
    <row r="15" spans="1:15" x14ac:dyDescent="0.3">
      <c r="A15" s="341">
        <f t="shared" si="0"/>
        <v>45183</v>
      </c>
      <c r="B15" s="356" t="str">
        <f>TEXT(A15,"ddd")</f>
        <v>Thu</v>
      </c>
      <c r="C15" s="322">
        <f>TRANSPOSE(Pool!C18:AG18)</f>
        <v>24</v>
      </c>
      <c r="D15" s="322">
        <v>0</v>
      </c>
      <c r="E15" s="322">
        <v>48</v>
      </c>
      <c r="F15" s="322">
        <v>164.73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97</v>
      </c>
      <c r="L15" s="332">
        <v>85</v>
      </c>
      <c r="M15" s="335">
        <v>79</v>
      </c>
      <c r="N15" s="327"/>
      <c r="O15" s="339">
        <v>310</v>
      </c>
    </row>
    <row r="16" spans="1:15" x14ac:dyDescent="0.3">
      <c r="A16" s="341">
        <f t="shared" si="0"/>
        <v>45184</v>
      </c>
      <c r="B16" s="356" t="str">
        <f>TEXT(A16,"DDD")</f>
        <v>Fri</v>
      </c>
      <c r="C16" s="322">
        <f>TRANSPOSE(Pool!C19:AG19)</f>
        <v>0</v>
      </c>
      <c r="D16" s="322">
        <v>0</v>
      </c>
      <c r="E16" s="322">
        <v>12</v>
      </c>
      <c r="F16" s="322">
        <v>419.53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98</v>
      </c>
      <c r="L16" s="332">
        <v>87</v>
      </c>
      <c r="M16" s="335">
        <v>81</v>
      </c>
      <c r="N16" s="327"/>
      <c r="O16" s="339">
        <v>407</v>
      </c>
    </row>
    <row r="17" spans="1:15" x14ac:dyDescent="0.3">
      <c r="A17" s="341">
        <f t="shared" si="0"/>
        <v>45185</v>
      </c>
      <c r="B17" s="356" t="str">
        <f>TEXT(A17,"ddd")</f>
        <v>Sat</v>
      </c>
      <c r="C17" s="322">
        <f>TRANSPOSE(Pool!C21:AG21)</f>
        <v>0</v>
      </c>
      <c r="D17" s="322">
        <v>10</v>
      </c>
      <c r="E17" s="322">
        <v>167</v>
      </c>
      <c r="F17" s="322">
        <v>694.18</v>
      </c>
      <c r="G17" s="322">
        <v>0</v>
      </c>
      <c r="H17" s="322">
        <f>TRANSPOSE(Pool!C33:AG33)</f>
        <v>756.93</v>
      </c>
      <c r="I17" s="325">
        <v>0</v>
      </c>
      <c r="J17" s="327"/>
      <c r="K17" s="329">
        <v>98</v>
      </c>
      <c r="L17" s="332">
        <v>87</v>
      </c>
      <c r="M17" s="335">
        <v>84</v>
      </c>
      <c r="N17" s="327"/>
      <c r="O17" s="339">
        <v>710</v>
      </c>
    </row>
    <row r="18" spans="1:15" x14ac:dyDescent="0.3">
      <c r="A18" s="341">
        <f t="shared" si="0"/>
        <v>45186</v>
      </c>
      <c r="B18" s="356" t="str">
        <f>TEXT(A18,"DDD")</f>
        <v>Sun</v>
      </c>
      <c r="C18" s="322">
        <f>TRANSPOSE(Pool!C20:AG20)</f>
        <v>0</v>
      </c>
      <c r="D18" s="322">
        <v>0</v>
      </c>
      <c r="E18" s="322">
        <v>65</v>
      </c>
      <c r="F18" s="322">
        <v>383.01</v>
      </c>
      <c r="G18" s="322">
        <v>0</v>
      </c>
      <c r="H18" s="322">
        <f>TRANSPOSE(Pool!C34:AG34)</f>
        <v>3747.67</v>
      </c>
      <c r="I18" s="325">
        <v>0</v>
      </c>
      <c r="J18" s="327"/>
      <c r="K18" s="329">
        <v>98</v>
      </c>
      <c r="L18" s="332">
        <v>86</v>
      </c>
      <c r="M18" s="335">
        <v>84</v>
      </c>
      <c r="N18" s="327"/>
      <c r="O18" s="339">
        <v>508</v>
      </c>
    </row>
    <row r="19" spans="1:15" x14ac:dyDescent="0.3">
      <c r="A19" s="341">
        <f t="shared" si="0"/>
        <v>45187</v>
      </c>
      <c r="B19" s="356" t="str">
        <f>TEXT(A19,"ddd")</f>
        <v>Mon</v>
      </c>
      <c r="C19" s="322">
        <f>TRANSPOSE(Pool!C22:AG22)</f>
        <v>0</v>
      </c>
      <c r="D19" s="322">
        <v>0</v>
      </c>
      <c r="E19" s="322">
        <v>52</v>
      </c>
      <c r="F19" s="322">
        <v>185.16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>
        <v>89</v>
      </c>
      <c r="M19" s="335">
        <v>86</v>
      </c>
      <c r="N19" s="327"/>
      <c r="O19" s="339">
        <v>207</v>
      </c>
    </row>
    <row r="20" spans="1:15" x14ac:dyDescent="0.3">
      <c r="A20" s="341">
        <f t="shared" si="0"/>
        <v>45188</v>
      </c>
      <c r="B20" s="356" t="str">
        <f>TEXT(A20,"DDD")</f>
        <v>Tue</v>
      </c>
      <c r="C20" s="322">
        <f>TRANSPOSE(Pool!C23:AG23)</f>
        <v>0</v>
      </c>
      <c r="D20" s="322">
        <v>0</v>
      </c>
      <c r="E20" s="322">
        <v>50</v>
      </c>
      <c r="F20" s="322">
        <v>179.43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98</v>
      </c>
      <c r="L20" s="332">
        <v>85</v>
      </c>
      <c r="M20" s="335">
        <v>85</v>
      </c>
      <c r="N20" s="327"/>
      <c r="O20" s="339">
        <v>243</v>
      </c>
    </row>
    <row r="21" spans="1:15" x14ac:dyDescent="0.3">
      <c r="A21" s="341">
        <f t="shared" si="0"/>
        <v>45189</v>
      </c>
      <c r="B21" s="356" t="str">
        <f>TEXT(A21,"ddd")</f>
        <v>Wed</v>
      </c>
      <c r="C21" s="322">
        <f>TRANSPOSE(Pool!C24:AG24)</f>
        <v>0</v>
      </c>
      <c r="D21" s="322">
        <v>0</v>
      </c>
      <c r="E21" s="322">
        <v>28</v>
      </c>
      <c r="F21" s="322">
        <v>349.3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98</v>
      </c>
      <c r="L21" s="332">
        <v>81</v>
      </c>
      <c r="M21" s="335">
        <v>85</v>
      </c>
      <c r="N21" s="327"/>
      <c r="O21" s="339">
        <v>339</v>
      </c>
    </row>
    <row r="22" spans="1:15" x14ac:dyDescent="0.3">
      <c r="A22" s="341">
        <f t="shared" si="0"/>
        <v>45190</v>
      </c>
      <c r="B22" s="356" t="str">
        <f>TEXT(A22,"DDD")</f>
        <v>Thu</v>
      </c>
      <c r="C22" s="322">
        <f>TRANSPOSE(Pool!C25:AG25)</f>
        <v>0</v>
      </c>
      <c r="D22" s="322">
        <v>0</v>
      </c>
      <c r="E22" s="322">
        <v>8</v>
      </c>
      <c r="F22" s="322">
        <v>366.92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98</v>
      </c>
      <c r="L22" s="332">
        <v>81</v>
      </c>
      <c r="M22" s="335">
        <v>79</v>
      </c>
      <c r="N22" s="327"/>
      <c r="O22" s="339">
        <v>401</v>
      </c>
    </row>
    <row r="23" spans="1:15" x14ac:dyDescent="0.3">
      <c r="A23" s="341">
        <f t="shared" si="0"/>
        <v>45191</v>
      </c>
      <c r="B23" s="356" t="str">
        <f>TEXT(A23,"ddd")</f>
        <v>Fri</v>
      </c>
      <c r="C23" s="322">
        <f>TRANSPOSE(Pool!C26:AG26)</f>
        <v>0</v>
      </c>
      <c r="D23" s="322">
        <v>0</v>
      </c>
      <c r="E23" s="322">
        <v>32</v>
      </c>
      <c r="F23" s="322">
        <v>457.27</v>
      </c>
      <c r="G23" s="322">
        <v>0</v>
      </c>
      <c r="H23" s="322">
        <f>TRANSPOSE(Pool!C39:AG39)</f>
        <v>4504.6000000000004</v>
      </c>
      <c r="I23" s="325">
        <v>0</v>
      </c>
      <c r="J23" s="327"/>
      <c r="K23" s="329">
        <v>98</v>
      </c>
      <c r="L23" s="332">
        <v>87</v>
      </c>
      <c r="M23" s="335">
        <v>76</v>
      </c>
      <c r="N23" s="327"/>
      <c r="O23" s="339">
        <v>478</v>
      </c>
    </row>
    <row r="24" spans="1:15" x14ac:dyDescent="0.3">
      <c r="A24" s="341">
        <f t="shared" si="0"/>
        <v>45192</v>
      </c>
      <c r="B24" s="356" t="str">
        <f>TEXT(A24,"DDD")</f>
        <v>Sat</v>
      </c>
      <c r="C24" s="322">
        <f>TRANSPOSE(Pool!C27:AG27)</f>
        <v>0</v>
      </c>
      <c r="D24" s="322">
        <v>0</v>
      </c>
      <c r="E24" s="322">
        <v>36</v>
      </c>
      <c r="F24" s="322">
        <v>606.67999999999995</v>
      </c>
      <c r="G24" s="322">
        <v>0</v>
      </c>
      <c r="H24" s="322">
        <f>TRANSPOSE(Pool!C40:AG40)</f>
        <v>4450.0600000000004</v>
      </c>
      <c r="I24" s="325">
        <v>0</v>
      </c>
      <c r="J24" s="327"/>
      <c r="K24" s="329">
        <v>0</v>
      </c>
      <c r="L24" s="332">
        <v>0</v>
      </c>
      <c r="M24" s="335">
        <v>0</v>
      </c>
      <c r="N24" s="327"/>
      <c r="O24" s="339">
        <v>780</v>
      </c>
    </row>
    <row r="25" spans="1:15" x14ac:dyDescent="0.3">
      <c r="A25" s="341">
        <f t="shared" si="0"/>
        <v>45193</v>
      </c>
      <c r="B25" s="356" t="str">
        <f>TEXT(A25,"ddd")</f>
        <v>Sun</v>
      </c>
      <c r="C25" s="322">
        <f>TRANSPOSE(Pool!C28:AG28)</f>
        <v>0</v>
      </c>
      <c r="D25" s="322">
        <v>0</v>
      </c>
      <c r="E25" s="322">
        <v>244</v>
      </c>
      <c r="F25" s="322">
        <v>601.79</v>
      </c>
      <c r="G25" s="322">
        <v>0</v>
      </c>
      <c r="H25" s="322">
        <f>TRANSPOSE(Pool!C41:AG41)</f>
        <v>54.539999999999964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616</v>
      </c>
    </row>
    <row r="26" spans="1:15" x14ac:dyDescent="0.3">
      <c r="A26" s="341">
        <f t="shared" si="0"/>
        <v>45194</v>
      </c>
      <c r="B26" s="356" t="str">
        <f>TEXT(A26,"DDD")</f>
        <v>Mon</v>
      </c>
      <c r="C26" s="322">
        <f>TRANSPOSE(Pool!C29:AG29)</f>
        <v>9031.4699999999993</v>
      </c>
      <c r="D26" s="322">
        <v>0</v>
      </c>
      <c r="E26" s="322">
        <v>32</v>
      </c>
      <c r="F26" s="322">
        <v>260.64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379</v>
      </c>
    </row>
    <row r="27" spans="1:15" x14ac:dyDescent="0.3">
      <c r="A27" s="341">
        <f t="shared" si="0"/>
        <v>45195</v>
      </c>
      <c r="B27" s="356" t="str">
        <f>TEXT(A27,"ddd")</f>
        <v>Tue</v>
      </c>
      <c r="C27" s="322">
        <f>TRANSPOSE(Pool!C30:AG30)</f>
        <v>9031.4699999999993</v>
      </c>
      <c r="D27" s="322">
        <v>0</v>
      </c>
      <c r="E27" s="322">
        <v>84</v>
      </c>
      <c r="F27" s="322">
        <v>229.51</v>
      </c>
      <c r="G27" s="322">
        <v>0</v>
      </c>
      <c r="H27" s="322">
        <f>TRANSPOSE(Pool!C43:AG43)</f>
        <v>-54.539999999999964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290</v>
      </c>
    </row>
    <row r="28" spans="1:15" x14ac:dyDescent="0.3">
      <c r="A28" s="341">
        <f t="shared" si="0"/>
        <v>45196</v>
      </c>
      <c r="B28" s="356" t="str">
        <f>TEXT(A28,"DDD")</f>
        <v>Wed</v>
      </c>
      <c r="C28" s="322">
        <f>TRANSPOSE(Pool!C31:AG31)</f>
        <v>0</v>
      </c>
      <c r="D28" s="322">
        <v>0</v>
      </c>
      <c r="E28" s="322">
        <v>145</v>
      </c>
      <c r="F28" s="322">
        <v>357.28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0</v>
      </c>
      <c r="L28" s="332">
        <v>0</v>
      </c>
      <c r="M28" s="335">
        <v>0</v>
      </c>
      <c r="N28" s="327"/>
      <c r="O28" s="339">
        <v>381</v>
      </c>
    </row>
    <row r="29" spans="1:15" x14ac:dyDescent="0.3">
      <c r="A29" s="341">
        <f t="shared" si="0"/>
        <v>45197</v>
      </c>
      <c r="B29" s="356" t="str">
        <f>TEXT(A29,"ddd")</f>
        <v>Thu</v>
      </c>
      <c r="C29" s="322">
        <f>TRANSPOSE(Pool!C32:AG32)</f>
        <v>0</v>
      </c>
      <c r="D29" s="322">
        <v>0</v>
      </c>
      <c r="E29" s="322">
        <v>24</v>
      </c>
      <c r="F29" s="322">
        <v>332.13</v>
      </c>
      <c r="G29" s="322">
        <v>0</v>
      </c>
      <c r="H29" s="322">
        <f>TRANSPOSE(Pool!C45:AG45)</f>
        <v>116.81</v>
      </c>
      <c r="I29" s="325">
        <v>0</v>
      </c>
      <c r="J29" s="327"/>
      <c r="K29" s="329">
        <v>0</v>
      </c>
      <c r="L29" s="332">
        <v>0</v>
      </c>
      <c r="M29" s="335">
        <v>0</v>
      </c>
      <c r="N29" s="327"/>
      <c r="O29" s="339">
        <v>443</v>
      </c>
    </row>
    <row r="30" spans="1:15" x14ac:dyDescent="0.3">
      <c r="A30" s="341">
        <f t="shared" si="0"/>
        <v>45198</v>
      </c>
      <c r="B30" s="356" t="str">
        <f>TEXT(A30,"ddd")</f>
        <v>Fri</v>
      </c>
      <c r="C30" s="322">
        <f>TRANSPOSE(Pool!C33:AG33)</f>
        <v>1027.53</v>
      </c>
      <c r="D30" s="322">
        <v>0</v>
      </c>
      <c r="E30" s="322">
        <v>206</v>
      </c>
      <c r="F30" s="322">
        <v>571.4</v>
      </c>
      <c r="G30" s="322">
        <v>0</v>
      </c>
      <c r="H30" s="322">
        <f>TRANSPOSE(Pool!C46:AG46)</f>
        <v>3630.86</v>
      </c>
      <c r="I30" s="325">
        <v>0</v>
      </c>
      <c r="J30" s="327"/>
      <c r="K30" s="329">
        <v>0</v>
      </c>
      <c r="L30" s="332">
        <v>0</v>
      </c>
      <c r="M30" s="335">
        <v>0</v>
      </c>
      <c r="N30" s="327"/>
      <c r="O30" s="339">
        <v>579</v>
      </c>
    </row>
    <row r="31" spans="1:15" x14ac:dyDescent="0.3">
      <c r="A31" s="341">
        <f t="shared" si="0"/>
        <v>45199</v>
      </c>
      <c r="B31" s="356" t="str">
        <f>TEXT(A31,"ddd")</f>
        <v>Sat</v>
      </c>
      <c r="C31" s="322">
        <f>TRANSPOSE(Pool!C34:AG34)</f>
        <v>249.5</v>
      </c>
      <c r="D31" s="322">
        <v>0</v>
      </c>
      <c r="E31" s="322">
        <v>36</v>
      </c>
      <c r="F31" s="322">
        <v>553.91</v>
      </c>
      <c r="G31" s="322">
        <v>0</v>
      </c>
      <c r="H31" s="322">
        <f>TRANSPOSE(Pool!C47:AG47)</f>
        <v>218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714</v>
      </c>
    </row>
    <row r="32" spans="1:15" ht="15" thickBot="1" x14ac:dyDescent="0.35">
      <c r="A32" s="342">
        <f t="shared" si="0"/>
        <v>45200</v>
      </c>
      <c r="B32" s="357" t="str">
        <f>TEXT(A32,"ddd")</f>
        <v>Sun</v>
      </c>
      <c r="C32" s="323">
        <f>TRANSPOSE(Pool!C35:AG35)</f>
        <v>0</v>
      </c>
      <c r="D32" s="323">
        <v>0</v>
      </c>
      <c r="E32" s="323">
        <v>0</v>
      </c>
      <c r="F32" s="323">
        <v>0</v>
      </c>
      <c r="G32" s="323">
        <v>0</v>
      </c>
      <c r="H32" s="323">
        <f>TRANSPOSE(Pool!C48:AG48)</f>
        <v>47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" thickBot="1" x14ac:dyDescent="0.35">
      <c r="C33" s="210"/>
      <c r="D33" s="210"/>
      <c r="E33" s="210"/>
      <c r="F33" s="210"/>
      <c r="G33" s="210"/>
      <c r="H33" s="210"/>
      <c r="I33" s="210"/>
    </row>
    <row r="34" spans="1:15" ht="15" thickBot="1" x14ac:dyDescent="0.35">
      <c r="A34" s="343" t="s">
        <v>76</v>
      </c>
      <c r="B34" s="344"/>
      <c r="C34" s="345">
        <f t="shared" ref="C34:I34" si="1">SUM(C2:C33)</f>
        <v>28313.79</v>
      </c>
      <c r="D34" s="345">
        <f t="shared" si="1"/>
        <v>2822</v>
      </c>
      <c r="E34" s="345">
        <f t="shared" si="1"/>
        <v>2523</v>
      </c>
      <c r="F34" s="345">
        <f t="shared" si="1"/>
        <v>12148.259999999998</v>
      </c>
      <c r="G34" s="345">
        <f t="shared" si="1"/>
        <v>0</v>
      </c>
      <c r="H34" s="345">
        <f t="shared" si="1"/>
        <v>26396.050000000003</v>
      </c>
      <c r="I34" s="346">
        <f t="shared" si="1"/>
        <v>180</v>
      </c>
      <c r="J34" s="60"/>
      <c r="K34" s="347">
        <f>Pool!AJ57</f>
        <v>97.941176470588232</v>
      </c>
      <c r="L34" s="348">
        <f>Pool!AJ58</f>
        <v>86.705882352941174</v>
      </c>
      <c r="M34" s="349">
        <f>Pool!AJ59</f>
        <v>81.294117647058826</v>
      </c>
      <c r="N34" s="102"/>
      <c r="O34" s="350">
        <f>SUM(O2:O33)</f>
        <v>15634</v>
      </c>
    </row>
    <row r="37" spans="1:15" x14ac:dyDescent="0.3">
      <c r="A37" s="351" t="s">
        <v>145</v>
      </c>
      <c r="B37" s="351"/>
      <c r="C37" s="351"/>
      <c r="D37" s="351"/>
      <c r="E37" s="351"/>
    </row>
    <row r="38" spans="1:15" x14ac:dyDescent="0.3">
      <c r="A38" s="351"/>
      <c r="B38" s="351"/>
      <c r="C38" s="351" t="s">
        <v>146</v>
      </c>
      <c r="D38" s="351">
        <v>100</v>
      </c>
      <c r="E38" s="351"/>
    </row>
    <row r="39" spans="1:15" x14ac:dyDescent="0.3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3">
      <c r="A40" s="351"/>
      <c r="B40" s="351"/>
      <c r="C40" s="351"/>
      <c r="D40" s="351">
        <v>90</v>
      </c>
      <c r="E40" s="351"/>
    </row>
    <row r="41" spans="1:15" x14ac:dyDescent="0.3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3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R6" activePane="bottomRight" state="frozen"/>
      <selection pane="topRight" activeCell="C1" sqref="C1"/>
      <selection pane="bottomLeft" activeCell="A3" sqref="A3"/>
      <selection pane="bottomRight" activeCell="AE25" sqref="AE25"/>
    </sheetView>
  </sheetViews>
  <sheetFormatPr defaultColWidth="9.109375" defaultRowHeight="14.4" x14ac:dyDescent="0.3"/>
  <cols>
    <col min="1" max="1" width="10.44140625" style="59" bestFit="1" customWidth="1"/>
    <col min="2" max="2" width="21.88671875" style="59" bestFit="1" customWidth="1"/>
    <col min="3" max="5" width="9.5546875" style="59" bestFit="1" customWidth="1"/>
    <col min="6" max="6" width="9" style="59" customWidth="1"/>
    <col min="7" max="32" width="9.5546875" style="59" bestFit="1" customWidth="1"/>
    <col min="33" max="33" width="9.5546875" style="59" hidden="1" customWidth="1"/>
    <col min="34" max="34" width="12.5546875" style="59" bestFit="1" customWidth="1"/>
    <col min="35" max="35" width="2.44140625" style="59" customWidth="1"/>
    <col min="36" max="36" width="10.44140625" style="59" bestFit="1" customWidth="1"/>
    <col min="37" max="37" width="27.6640625" style="59" bestFit="1" customWidth="1"/>
    <col min="38" max="38" width="11.33203125" style="59" customWidth="1"/>
    <col min="39" max="39" width="11.88671875" style="59" bestFit="1" customWidth="1"/>
    <col min="40" max="16384" width="9.109375" style="59"/>
  </cols>
  <sheetData>
    <row r="1" spans="1:37" ht="15" thickBot="1" x14ac:dyDescent="0.35">
      <c r="A1" s="170" t="s">
        <v>115</v>
      </c>
      <c r="B1" s="285" t="str">
        <f>'Cash Flow'!C1</f>
        <v>September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7" ht="16.2" thickBot="1" x14ac:dyDescent="0.35">
      <c r="A2" s="117" t="s">
        <v>66</v>
      </c>
      <c r="B2" s="118" t="s">
        <v>128</v>
      </c>
      <c r="C2" s="106">
        <f>'Cash Flow'!A8</f>
        <v>45170</v>
      </c>
      <c r="D2" s="106">
        <f t="shared" ref="D2:AG2" si="0">C2+1</f>
        <v>45171</v>
      </c>
      <c r="E2" s="106">
        <f t="shared" si="0"/>
        <v>45172</v>
      </c>
      <c r="F2" s="106">
        <f t="shared" si="0"/>
        <v>45173</v>
      </c>
      <c r="G2" s="106">
        <f t="shared" si="0"/>
        <v>45174</v>
      </c>
      <c r="H2" s="106">
        <f t="shared" si="0"/>
        <v>45175</v>
      </c>
      <c r="I2" s="106">
        <f t="shared" si="0"/>
        <v>45176</v>
      </c>
      <c r="J2" s="106">
        <f t="shared" si="0"/>
        <v>45177</v>
      </c>
      <c r="K2" s="106">
        <f t="shared" si="0"/>
        <v>45178</v>
      </c>
      <c r="L2" s="106">
        <f t="shared" si="0"/>
        <v>45179</v>
      </c>
      <c r="M2" s="106">
        <f t="shared" si="0"/>
        <v>45180</v>
      </c>
      <c r="N2" s="106">
        <f t="shared" si="0"/>
        <v>45181</v>
      </c>
      <c r="O2" s="106">
        <f t="shared" si="0"/>
        <v>45182</v>
      </c>
      <c r="P2" s="106">
        <f t="shared" si="0"/>
        <v>45183</v>
      </c>
      <c r="Q2" s="106">
        <f t="shared" si="0"/>
        <v>45184</v>
      </c>
      <c r="R2" s="106">
        <f t="shared" si="0"/>
        <v>45185</v>
      </c>
      <c r="S2" s="106">
        <f t="shared" si="0"/>
        <v>45186</v>
      </c>
      <c r="T2" s="106">
        <f t="shared" si="0"/>
        <v>45187</v>
      </c>
      <c r="U2" s="106">
        <f t="shared" si="0"/>
        <v>45188</v>
      </c>
      <c r="V2" s="106">
        <f t="shared" si="0"/>
        <v>45189</v>
      </c>
      <c r="W2" s="106">
        <f t="shared" si="0"/>
        <v>45190</v>
      </c>
      <c r="X2" s="106">
        <f t="shared" si="0"/>
        <v>45191</v>
      </c>
      <c r="Y2" s="106">
        <f t="shared" si="0"/>
        <v>45192</v>
      </c>
      <c r="Z2" s="106">
        <f t="shared" si="0"/>
        <v>45193</v>
      </c>
      <c r="AA2" s="106">
        <f t="shared" si="0"/>
        <v>45194</v>
      </c>
      <c r="AB2" s="106">
        <f t="shared" si="0"/>
        <v>45195</v>
      </c>
      <c r="AC2" s="106">
        <f t="shared" si="0"/>
        <v>45196</v>
      </c>
      <c r="AD2" s="106">
        <f t="shared" si="0"/>
        <v>45197</v>
      </c>
      <c r="AE2" s="106">
        <f t="shared" si="0"/>
        <v>45198</v>
      </c>
      <c r="AF2" s="106">
        <f t="shared" si="0"/>
        <v>45199</v>
      </c>
      <c r="AG2" s="106">
        <f t="shared" si="0"/>
        <v>45200</v>
      </c>
      <c r="AH2" s="119" t="s">
        <v>59</v>
      </c>
      <c r="AJ2" s="63" t="s">
        <v>66</v>
      </c>
      <c r="AK2" s="64" t="s">
        <v>128</v>
      </c>
    </row>
    <row r="3" spans="1:37" ht="15.6" x14ac:dyDescent="0.3">
      <c r="A3" s="120" t="s">
        <v>61</v>
      </c>
      <c r="B3" s="121" t="s">
        <v>83</v>
      </c>
      <c r="C3" s="113">
        <v>17.13</v>
      </c>
      <c r="D3" s="113">
        <v>30.81</v>
      </c>
      <c r="E3" s="113">
        <v>36.29</v>
      </c>
      <c r="F3" s="113">
        <v>26.35</v>
      </c>
      <c r="G3" s="113">
        <v>19.53</v>
      </c>
      <c r="H3" s="113">
        <v>4.05</v>
      </c>
      <c r="I3" s="113">
        <v>6.67</v>
      </c>
      <c r="J3" s="113">
        <v>13.39</v>
      </c>
      <c r="K3" s="113">
        <v>15.27</v>
      </c>
      <c r="L3" s="113">
        <v>24.13</v>
      </c>
      <c r="M3" s="113">
        <v>12.15</v>
      </c>
      <c r="N3" s="113">
        <v>12.34</v>
      </c>
      <c r="O3" s="113">
        <v>17.95</v>
      </c>
      <c r="P3" s="113">
        <v>15.98</v>
      </c>
      <c r="Q3" s="113">
        <v>17.440000000000001</v>
      </c>
      <c r="R3" s="113">
        <v>8.09</v>
      </c>
      <c r="S3" s="113">
        <v>14.2</v>
      </c>
      <c r="T3" s="113">
        <v>7.41</v>
      </c>
      <c r="U3" s="113">
        <v>15.43</v>
      </c>
      <c r="V3" s="113">
        <v>29.69</v>
      </c>
      <c r="W3" s="113">
        <v>12.59</v>
      </c>
      <c r="X3" s="113">
        <v>29.01</v>
      </c>
      <c r="Y3" s="113">
        <v>9.19</v>
      </c>
      <c r="Z3" s="113">
        <v>27.52</v>
      </c>
      <c r="AA3" s="113">
        <v>14.45</v>
      </c>
      <c r="AB3" s="113">
        <v>17.989999999999998</v>
      </c>
      <c r="AC3" s="113">
        <v>15.15</v>
      </c>
      <c r="AD3" s="113">
        <v>11.57</v>
      </c>
      <c r="AE3" s="113">
        <v>18.62</v>
      </c>
      <c r="AF3" s="113">
        <v>19.68</v>
      </c>
      <c r="AG3" s="113"/>
      <c r="AH3" s="108">
        <f t="shared" ref="AH3:AH15" si="1">SUM(C3:AG3)</f>
        <v>520.06999999999982</v>
      </c>
      <c r="AJ3" s="160" t="s">
        <v>61</v>
      </c>
      <c r="AK3" s="161" t="s">
        <v>83</v>
      </c>
    </row>
    <row r="4" spans="1:37" ht="15.6" x14ac:dyDescent="0.3">
      <c r="A4" s="122" t="s">
        <v>69</v>
      </c>
      <c r="B4" s="123" t="s">
        <v>70</v>
      </c>
      <c r="C4" s="124">
        <v>1381</v>
      </c>
      <c r="D4" s="124">
        <v>3326</v>
      </c>
      <c r="E4" s="124">
        <v>3374</v>
      </c>
      <c r="F4" s="124">
        <v>1647</v>
      </c>
      <c r="G4" s="124">
        <v>1448</v>
      </c>
      <c r="H4" s="124">
        <v>1156</v>
      </c>
      <c r="I4" s="124">
        <v>1218</v>
      </c>
      <c r="J4" s="124">
        <v>1277</v>
      </c>
      <c r="K4" s="124">
        <v>1635</v>
      </c>
      <c r="L4" s="124">
        <v>1406</v>
      </c>
      <c r="M4" s="124">
        <v>1117</v>
      </c>
      <c r="N4" s="124">
        <v>976</v>
      </c>
      <c r="O4" s="124">
        <v>1424</v>
      </c>
      <c r="P4" s="124">
        <v>1347.98</v>
      </c>
      <c r="Q4" s="124">
        <v>1791</v>
      </c>
      <c r="R4" s="124">
        <v>1852</v>
      </c>
      <c r="S4" s="124">
        <v>1751</v>
      </c>
      <c r="T4" s="124">
        <v>1007</v>
      </c>
      <c r="U4" s="124">
        <v>1254</v>
      </c>
      <c r="V4" s="124">
        <v>1476</v>
      </c>
      <c r="W4" s="124">
        <v>1534</v>
      </c>
      <c r="X4" s="124">
        <v>1493</v>
      </c>
      <c r="Y4" s="124">
        <v>2055</v>
      </c>
      <c r="Z4" s="124">
        <v>1773</v>
      </c>
      <c r="AA4" s="124">
        <v>1468</v>
      </c>
      <c r="AB4" s="124">
        <v>1338</v>
      </c>
      <c r="AC4" s="124">
        <v>1288</v>
      </c>
      <c r="AD4" s="124">
        <v>1455</v>
      </c>
      <c r="AE4" s="124">
        <v>1940</v>
      </c>
      <c r="AF4" s="124">
        <v>1883</v>
      </c>
      <c r="AG4" s="124"/>
      <c r="AH4" s="108">
        <f t="shared" si="1"/>
        <v>48090.979999999996</v>
      </c>
      <c r="AJ4" s="162" t="s">
        <v>69</v>
      </c>
      <c r="AK4" s="163" t="s">
        <v>70</v>
      </c>
    </row>
    <row r="5" spans="1:37" ht="15.6" x14ac:dyDescent="0.3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>
        <v>2.5</v>
      </c>
      <c r="M5" s="125"/>
      <c r="N5" s="125"/>
      <c r="O5" s="125">
        <v>5</v>
      </c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7.5</v>
      </c>
      <c r="AJ5" s="162" t="s">
        <v>80</v>
      </c>
      <c r="AK5" s="163" t="s">
        <v>82</v>
      </c>
    </row>
    <row r="6" spans="1:37" ht="15.6" x14ac:dyDescent="0.3">
      <c r="A6" s="122" t="s">
        <v>79</v>
      </c>
      <c r="B6" s="123" t="s">
        <v>201</v>
      </c>
      <c r="C6" s="125">
        <v>181.3</v>
      </c>
      <c r="D6" s="125">
        <v>326.13</v>
      </c>
      <c r="E6" s="125">
        <v>384.27</v>
      </c>
      <c r="F6" s="125">
        <v>279.12</v>
      </c>
      <c r="G6" s="125">
        <v>207.04</v>
      </c>
      <c r="H6" s="125">
        <v>42.97</v>
      </c>
      <c r="I6" s="125">
        <v>70.569999999999993</v>
      </c>
      <c r="J6" s="125">
        <v>141.69</v>
      </c>
      <c r="K6" s="125">
        <v>160.24</v>
      </c>
      <c r="L6" s="125">
        <v>255.4</v>
      </c>
      <c r="M6" s="125">
        <v>128.81</v>
      </c>
      <c r="N6" s="125">
        <v>130.57</v>
      </c>
      <c r="O6" s="125">
        <v>190.03</v>
      </c>
      <c r="P6" s="125">
        <v>169.12</v>
      </c>
      <c r="Q6" s="125">
        <v>184.82</v>
      </c>
      <c r="R6" s="125">
        <v>84.6</v>
      </c>
      <c r="S6" s="125">
        <v>150.41</v>
      </c>
      <c r="T6" s="125">
        <v>78.400000000000006</v>
      </c>
      <c r="U6" s="125">
        <v>162.91999999999999</v>
      </c>
      <c r="V6" s="125">
        <v>314.33999999999997</v>
      </c>
      <c r="W6" s="125">
        <v>133.11000000000001</v>
      </c>
      <c r="X6" s="125">
        <v>307.33999999999997</v>
      </c>
      <c r="Y6" s="125">
        <v>97.15</v>
      </c>
      <c r="Z6" s="125">
        <v>291.39999999999998</v>
      </c>
      <c r="AA6" s="125">
        <v>152.80000000000001</v>
      </c>
      <c r="AB6" s="125">
        <v>190.3</v>
      </c>
      <c r="AC6" s="125">
        <v>160.05000000000001</v>
      </c>
      <c r="AD6" s="125">
        <v>122.29</v>
      </c>
      <c r="AE6" s="125">
        <v>197.15</v>
      </c>
      <c r="AF6" s="125">
        <v>208.35</v>
      </c>
      <c r="AG6" s="125"/>
      <c r="AH6" s="108">
        <f t="shared" si="1"/>
        <v>5502.6900000000005</v>
      </c>
      <c r="AJ6" s="162" t="s">
        <v>79</v>
      </c>
      <c r="AK6" s="163" t="s">
        <v>201</v>
      </c>
    </row>
    <row r="7" spans="1:37" ht="15.6" x14ac:dyDescent="0.3">
      <c r="A7" s="122" t="s">
        <v>79</v>
      </c>
      <c r="B7" s="123" t="s">
        <v>81</v>
      </c>
      <c r="C7" s="125"/>
      <c r="D7" s="125"/>
      <c r="E7" s="125"/>
      <c r="F7" s="125"/>
      <c r="G7" s="125"/>
      <c r="H7" s="125">
        <v>1.45</v>
      </c>
      <c r="I7" s="125">
        <v>1.92</v>
      </c>
      <c r="J7" s="125"/>
      <c r="K7" s="125"/>
      <c r="L7" s="125"/>
      <c r="M7" s="125"/>
      <c r="N7" s="125"/>
      <c r="O7" s="125">
        <v>0.48</v>
      </c>
      <c r="P7" s="125"/>
      <c r="Q7" s="125"/>
      <c r="R7" s="125">
        <v>0.48</v>
      </c>
      <c r="S7" s="125"/>
      <c r="T7" s="125"/>
      <c r="U7" s="125"/>
      <c r="V7" s="125"/>
      <c r="W7" s="125">
        <v>1.44</v>
      </c>
      <c r="X7" s="125">
        <v>0.48</v>
      </c>
      <c r="Y7" s="125"/>
      <c r="Z7" s="125"/>
      <c r="AA7" s="125">
        <v>0.48</v>
      </c>
      <c r="AB7" s="125"/>
      <c r="AC7" s="125">
        <v>2.04</v>
      </c>
      <c r="AD7" s="125">
        <v>1.02</v>
      </c>
      <c r="AE7" s="125"/>
      <c r="AF7" s="125">
        <v>3.57</v>
      </c>
      <c r="AG7" s="125"/>
      <c r="AH7" s="108">
        <f t="shared" si="1"/>
        <v>13.36</v>
      </c>
      <c r="AJ7" s="162" t="s">
        <v>79</v>
      </c>
      <c r="AK7" s="163" t="s">
        <v>81</v>
      </c>
    </row>
    <row r="8" spans="1:37" ht="16.2" thickBot="1" x14ac:dyDescent="0.35">
      <c r="A8" s="435"/>
      <c r="B8" s="434" t="s">
        <v>191</v>
      </c>
      <c r="C8" s="433">
        <f t="shared" ref="C8:AG8" si="2">SUM(C3:C7)</f>
        <v>1579.43</v>
      </c>
      <c r="D8" s="433">
        <f t="shared" si="2"/>
        <v>3682.94</v>
      </c>
      <c r="E8" s="433">
        <f t="shared" si="2"/>
        <v>3794.56</v>
      </c>
      <c r="F8" s="433">
        <f t="shared" si="2"/>
        <v>1952.4699999999998</v>
      </c>
      <c r="G8" s="433">
        <f t="shared" si="2"/>
        <v>1674.57</v>
      </c>
      <c r="H8" s="433">
        <f t="shared" si="2"/>
        <v>1204.47</v>
      </c>
      <c r="I8" s="433">
        <f t="shared" si="2"/>
        <v>1297.1600000000001</v>
      </c>
      <c r="J8" s="433">
        <f t="shared" si="2"/>
        <v>1432.0800000000002</v>
      </c>
      <c r="K8" s="433">
        <f t="shared" si="2"/>
        <v>1810.51</v>
      </c>
      <c r="L8" s="433">
        <f t="shared" si="2"/>
        <v>1688.0300000000002</v>
      </c>
      <c r="M8" s="433">
        <f t="shared" si="2"/>
        <v>1257.96</v>
      </c>
      <c r="N8" s="433">
        <f t="shared" si="2"/>
        <v>1118.9100000000001</v>
      </c>
      <c r="O8" s="433">
        <f t="shared" si="2"/>
        <v>1637.46</v>
      </c>
      <c r="P8" s="433">
        <f t="shared" si="2"/>
        <v>1533.08</v>
      </c>
      <c r="Q8" s="433">
        <f t="shared" si="2"/>
        <v>1993.26</v>
      </c>
      <c r="R8" s="433">
        <f t="shared" si="2"/>
        <v>1945.1699999999998</v>
      </c>
      <c r="S8" s="433">
        <f t="shared" si="2"/>
        <v>1915.6100000000001</v>
      </c>
      <c r="T8" s="433">
        <f t="shared" si="2"/>
        <v>1092.81</v>
      </c>
      <c r="U8" s="433">
        <f t="shared" si="2"/>
        <v>1432.3500000000001</v>
      </c>
      <c r="V8" s="433">
        <f t="shared" si="2"/>
        <v>1820.03</v>
      </c>
      <c r="W8" s="433">
        <f t="shared" si="2"/>
        <v>1681.1399999999999</v>
      </c>
      <c r="X8" s="433">
        <f t="shared" si="2"/>
        <v>1829.83</v>
      </c>
      <c r="Y8" s="433">
        <f t="shared" si="2"/>
        <v>2161.34</v>
      </c>
      <c r="Z8" s="433">
        <f t="shared" si="2"/>
        <v>2091.92</v>
      </c>
      <c r="AA8" s="433">
        <f t="shared" si="2"/>
        <v>1635.73</v>
      </c>
      <c r="AB8" s="433">
        <f t="shared" si="2"/>
        <v>1546.29</v>
      </c>
      <c r="AC8" s="433">
        <f t="shared" si="2"/>
        <v>1465.24</v>
      </c>
      <c r="AD8" s="433">
        <f t="shared" si="2"/>
        <v>1589.8799999999999</v>
      </c>
      <c r="AE8" s="433">
        <f t="shared" si="2"/>
        <v>2155.77</v>
      </c>
      <c r="AF8" s="433">
        <f t="shared" si="2"/>
        <v>2114.6000000000004</v>
      </c>
      <c r="AG8" s="433">
        <f t="shared" si="2"/>
        <v>0</v>
      </c>
      <c r="AH8" s="432">
        <f t="shared" si="1"/>
        <v>54134.599999999991</v>
      </c>
      <c r="AJ8" s="162"/>
      <c r="AK8" s="163"/>
    </row>
    <row r="9" spans="1:37" ht="15.6" x14ac:dyDescent="0.3">
      <c r="A9" s="431" t="s">
        <v>61</v>
      </c>
      <c r="B9" s="430" t="s">
        <v>83</v>
      </c>
      <c r="C9" s="429">
        <v>8.3800000000000008</v>
      </c>
      <c r="D9" s="107">
        <v>24.59</v>
      </c>
      <c r="E9" s="428">
        <v>34.58</v>
      </c>
      <c r="F9" s="428">
        <v>16.02</v>
      </c>
      <c r="G9" s="428">
        <v>20.86</v>
      </c>
      <c r="H9" s="428">
        <v>5.56</v>
      </c>
      <c r="I9" s="428">
        <v>12.73</v>
      </c>
      <c r="J9" s="428">
        <v>4.0199999999999996</v>
      </c>
      <c r="K9" s="428">
        <v>11.15</v>
      </c>
      <c r="L9" s="428">
        <v>15.89</v>
      </c>
      <c r="M9" s="428">
        <v>12.14</v>
      </c>
      <c r="N9" s="428">
        <v>7.27</v>
      </c>
      <c r="O9" s="428">
        <v>4.42</v>
      </c>
      <c r="P9" s="428">
        <v>7.45</v>
      </c>
      <c r="Q9" s="428">
        <v>4.37</v>
      </c>
      <c r="R9" s="428">
        <v>13.5</v>
      </c>
      <c r="S9" s="428">
        <v>8.27</v>
      </c>
      <c r="T9" s="428">
        <v>14.42</v>
      </c>
      <c r="U9" s="428">
        <v>9.0500000000000007</v>
      </c>
      <c r="V9" s="428">
        <v>5.66</v>
      </c>
      <c r="W9" s="428">
        <v>11.82</v>
      </c>
      <c r="X9" s="428">
        <v>10.18</v>
      </c>
      <c r="Y9" s="428">
        <v>33.18</v>
      </c>
      <c r="Z9" s="428">
        <v>24.67</v>
      </c>
      <c r="AA9" s="428">
        <v>8.5500000000000007</v>
      </c>
      <c r="AB9" s="428">
        <v>15.65</v>
      </c>
      <c r="AC9" s="428">
        <v>26.97</v>
      </c>
      <c r="AD9" s="428">
        <v>13.51</v>
      </c>
      <c r="AE9" s="428">
        <v>13.15</v>
      </c>
      <c r="AF9" s="428">
        <v>14.41</v>
      </c>
      <c r="AG9" s="428"/>
      <c r="AH9" s="427">
        <f t="shared" si="1"/>
        <v>412.4199999999999</v>
      </c>
      <c r="AJ9" s="425"/>
      <c r="AK9" s="424"/>
    </row>
    <row r="10" spans="1:37" ht="15.6" x14ac:dyDescent="0.3">
      <c r="A10" s="122" t="s">
        <v>69</v>
      </c>
      <c r="B10" s="123" t="s">
        <v>70</v>
      </c>
      <c r="C10" s="426">
        <v>1210</v>
      </c>
      <c r="D10" s="125">
        <v>2987</v>
      </c>
      <c r="E10" s="153">
        <v>3255</v>
      </c>
      <c r="F10" s="153">
        <v>1794</v>
      </c>
      <c r="G10" s="153">
        <v>1100</v>
      </c>
      <c r="H10" s="153">
        <v>770</v>
      </c>
      <c r="I10" s="153">
        <v>879</v>
      </c>
      <c r="J10" s="153">
        <v>854</v>
      </c>
      <c r="K10" s="153">
        <v>1470</v>
      </c>
      <c r="L10" s="153">
        <v>1245</v>
      </c>
      <c r="M10" s="153">
        <v>1346</v>
      </c>
      <c r="N10" s="153">
        <v>638</v>
      </c>
      <c r="O10" s="153">
        <v>1033</v>
      </c>
      <c r="P10" s="153">
        <v>886</v>
      </c>
      <c r="Q10" s="153">
        <v>34</v>
      </c>
      <c r="R10" s="153">
        <v>1722</v>
      </c>
      <c r="S10" s="153">
        <v>1338</v>
      </c>
      <c r="T10" s="153">
        <v>1269</v>
      </c>
      <c r="U10" s="153">
        <v>920</v>
      </c>
      <c r="V10" s="153">
        <v>1034</v>
      </c>
      <c r="W10" s="153">
        <v>1097</v>
      </c>
      <c r="X10" s="153">
        <v>1380</v>
      </c>
      <c r="Y10" s="153">
        <v>1940</v>
      </c>
      <c r="Z10" s="153">
        <v>1934</v>
      </c>
      <c r="AA10" s="153">
        <v>1275</v>
      </c>
      <c r="AB10" s="153">
        <v>1284</v>
      </c>
      <c r="AC10" s="153">
        <v>1245</v>
      </c>
      <c r="AD10" s="153">
        <v>1278</v>
      </c>
      <c r="AE10" s="153">
        <v>1626</v>
      </c>
      <c r="AF10" s="153">
        <v>2198</v>
      </c>
      <c r="AG10" s="153"/>
      <c r="AH10" s="421">
        <f t="shared" si="1"/>
        <v>41041</v>
      </c>
      <c r="AJ10" s="425"/>
      <c r="AK10" s="424"/>
    </row>
    <row r="11" spans="1:37" ht="15.6" x14ac:dyDescent="0.3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>
        <v>144</v>
      </c>
      <c r="U11" s="153">
        <v>74.83</v>
      </c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>
        <v>50</v>
      </c>
      <c r="AG11" s="153"/>
      <c r="AH11" s="421">
        <f t="shared" si="1"/>
        <v>268.83</v>
      </c>
      <c r="AJ11" s="425"/>
      <c r="AK11" s="424"/>
    </row>
    <row r="12" spans="1:37" ht="15.6" x14ac:dyDescent="0.3">
      <c r="A12" s="122" t="s">
        <v>79</v>
      </c>
      <c r="B12" s="123" t="s">
        <v>201</v>
      </c>
      <c r="C12" s="426">
        <v>88.69</v>
      </c>
      <c r="D12" s="125">
        <v>260.5</v>
      </c>
      <c r="E12" s="153">
        <v>366.26</v>
      </c>
      <c r="F12" s="153">
        <v>169.47</v>
      </c>
      <c r="G12" s="153">
        <v>220.96</v>
      </c>
      <c r="H12" s="153">
        <v>58.82</v>
      </c>
      <c r="I12" s="153">
        <v>134.54</v>
      </c>
      <c r="J12" s="153">
        <v>42.58</v>
      </c>
      <c r="K12" s="153">
        <v>118.05</v>
      </c>
      <c r="L12" s="153">
        <v>168.22</v>
      </c>
      <c r="M12" s="153">
        <v>128.33000000000001</v>
      </c>
      <c r="N12" s="153">
        <v>76.989999999999995</v>
      </c>
      <c r="O12" s="153">
        <v>46.89</v>
      </c>
      <c r="P12" s="153">
        <v>78.819999999999993</v>
      </c>
      <c r="Q12" s="153">
        <v>46.36</v>
      </c>
      <c r="R12" s="153">
        <v>142.94</v>
      </c>
      <c r="S12" s="153">
        <v>87.5</v>
      </c>
      <c r="T12" s="153">
        <v>152.30000000000001</v>
      </c>
      <c r="U12" s="153">
        <v>95.85</v>
      </c>
      <c r="V12" s="153">
        <v>59.92</v>
      </c>
      <c r="W12" s="153">
        <v>124.68</v>
      </c>
      <c r="X12" s="153">
        <v>107.62</v>
      </c>
      <c r="Y12" s="153">
        <v>351.26</v>
      </c>
      <c r="Z12" s="153">
        <v>261.10000000000002</v>
      </c>
      <c r="AA12" s="153">
        <v>90.66</v>
      </c>
      <c r="AB12" s="153">
        <v>165.7</v>
      </c>
      <c r="AC12" s="153">
        <v>285.66000000000003</v>
      </c>
      <c r="AD12" s="153">
        <v>142.62</v>
      </c>
      <c r="AE12" s="153">
        <v>139.19999999999999</v>
      </c>
      <c r="AF12" s="153">
        <v>152.57</v>
      </c>
      <c r="AG12" s="153"/>
      <c r="AH12" s="421">
        <f t="shared" si="1"/>
        <v>4365.0599999999986</v>
      </c>
      <c r="AJ12" s="425"/>
      <c r="AK12" s="424"/>
    </row>
    <row r="13" spans="1:37" ht="15.6" x14ac:dyDescent="0.3">
      <c r="A13" s="122" t="s">
        <v>79</v>
      </c>
      <c r="B13" s="123" t="s">
        <v>81</v>
      </c>
      <c r="C13" s="426"/>
      <c r="D13" s="125">
        <v>0.48</v>
      </c>
      <c r="E13" s="153"/>
      <c r="F13" s="153">
        <v>4.34</v>
      </c>
      <c r="G13" s="153"/>
      <c r="H13" s="153"/>
      <c r="I13" s="153">
        <v>1.44</v>
      </c>
      <c r="J13" s="153">
        <v>0.48</v>
      </c>
      <c r="K13" s="153">
        <v>0.96</v>
      </c>
      <c r="L13" s="153"/>
      <c r="M13" s="153"/>
      <c r="N13" s="153"/>
      <c r="O13" s="153">
        <v>0.48</v>
      </c>
      <c r="P13" s="153"/>
      <c r="Q13" s="153"/>
      <c r="R13" s="153">
        <v>2.4</v>
      </c>
      <c r="S13" s="153">
        <v>0.96</v>
      </c>
      <c r="T13" s="153">
        <v>7.25</v>
      </c>
      <c r="U13" s="153"/>
      <c r="V13" s="153"/>
      <c r="W13" s="153"/>
      <c r="X13" s="153"/>
      <c r="Y13" s="153">
        <v>1.44</v>
      </c>
      <c r="Z13" s="153">
        <v>2.4</v>
      </c>
      <c r="AA13" s="153"/>
      <c r="AB13" s="153"/>
      <c r="AC13" s="153"/>
      <c r="AD13" s="153">
        <v>0.51</v>
      </c>
      <c r="AE13" s="153">
        <v>1.02</v>
      </c>
      <c r="AF13" s="153">
        <v>6.63</v>
      </c>
      <c r="AG13" s="153"/>
      <c r="AH13" s="421">
        <f t="shared" si="1"/>
        <v>30.79</v>
      </c>
      <c r="AJ13" s="425"/>
      <c r="AK13" s="424"/>
    </row>
    <row r="14" spans="1:37" ht="16.2" thickBot="1" x14ac:dyDescent="0.35">
      <c r="A14" s="132"/>
      <c r="B14" s="423" t="s">
        <v>190</v>
      </c>
      <c r="C14" s="422">
        <f t="shared" ref="C14:AG14" si="3">SUM(C9:C13)</f>
        <v>1307.0700000000002</v>
      </c>
      <c r="D14" s="422">
        <f t="shared" si="3"/>
        <v>3272.57</v>
      </c>
      <c r="E14" s="422">
        <f t="shared" si="3"/>
        <v>3655.84</v>
      </c>
      <c r="F14" s="422">
        <f t="shared" si="3"/>
        <v>1983.83</v>
      </c>
      <c r="G14" s="422">
        <f t="shared" si="3"/>
        <v>1341.82</v>
      </c>
      <c r="H14" s="422">
        <f t="shared" si="3"/>
        <v>834.38</v>
      </c>
      <c r="I14" s="422">
        <f t="shared" si="3"/>
        <v>1027.71</v>
      </c>
      <c r="J14" s="422">
        <f t="shared" si="3"/>
        <v>901.08</v>
      </c>
      <c r="K14" s="422">
        <f t="shared" si="3"/>
        <v>1600.16</v>
      </c>
      <c r="L14" s="422">
        <f t="shared" si="3"/>
        <v>1429.1100000000001</v>
      </c>
      <c r="M14" s="422">
        <f t="shared" si="3"/>
        <v>1486.47</v>
      </c>
      <c r="N14" s="422">
        <f t="shared" si="3"/>
        <v>722.26</v>
      </c>
      <c r="O14" s="422">
        <f t="shared" si="3"/>
        <v>1084.7900000000002</v>
      </c>
      <c r="P14" s="422">
        <f t="shared" si="3"/>
        <v>972.27</v>
      </c>
      <c r="Q14" s="422">
        <f t="shared" si="3"/>
        <v>84.72999999999999</v>
      </c>
      <c r="R14" s="422">
        <f t="shared" si="3"/>
        <v>1880.8400000000001</v>
      </c>
      <c r="S14" s="422">
        <f t="shared" si="3"/>
        <v>1434.73</v>
      </c>
      <c r="T14" s="422">
        <f t="shared" si="3"/>
        <v>1586.97</v>
      </c>
      <c r="U14" s="422">
        <f t="shared" si="3"/>
        <v>1099.73</v>
      </c>
      <c r="V14" s="422">
        <f t="shared" si="3"/>
        <v>1099.5800000000002</v>
      </c>
      <c r="W14" s="422">
        <f t="shared" si="3"/>
        <v>1233.5</v>
      </c>
      <c r="X14" s="422">
        <f t="shared" si="3"/>
        <v>1497.8000000000002</v>
      </c>
      <c r="Y14" s="422">
        <f t="shared" si="3"/>
        <v>2325.88</v>
      </c>
      <c r="Z14" s="422">
        <f t="shared" si="3"/>
        <v>2222.17</v>
      </c>
      <c r="AA14" s="422">
        <f t="shared" si="3"/>
        <v>1374.21</v>
      </c>
      <c r="AB14" s="422">
        <f t="shared" si="3"/>
        <v>1465.3500000000001</v>
      </c>
      <c r="AC14" s="422">
        <f t="shared" si="3"/>
        <v>1557.63</v>
      </c>
      <c r="AD14" s="422">
        <f t="shared" si="3"/>
        <v>1434.64</v>
      </c>
      <c r="AE14" s="422">
        <f t="shared" si="3"/>
        <v>1779.3700000000001</v>
      </c>
      <c r="AF14" s="422">
        <f t="shared" si="3"/>
        <v>2421.61</v>
      </c>
      <c r="AG14" s="422">
        <f t="shared" si="3"/>
        <v>0</v>
      </c>
      <c r="AH14" s="421">
        <f t="shared" si="1"/>
        <v>46118.099999999991</v>
      </c>
      <c r="AJ14" s="77"/>
      <c r="AK14" s="78"/>
    </row>
    <row r="15" spans="1:37" x14ac:dyDescent="0.3">
      <c r="A15" s="134"/>
      <c r="B15" s="415" t="s">
        <v>64</v>
      </c>
      <c r="C15" s="414">
        <f t="shared" ref="C15:AG15" si="4">SUM(C3:C7,C9:C13)</f>
        <v>2886.5000000000005</v>
      </c>
      <c r="D15" s="414">
        <f t="shared" si="4"/>
        <v>6955.51</v>
      </c>
      <c r="E15" s="414">
        <f t="shared" si="4"/>
        <v>7450.4</v>
      </c>
      <c r="F15" s="414">
        <f t="shared" si="4"/>
        <v>3936.2999999999997</v>
      </c>
      <c r="G15" s="414">
        <f t="shared" si="4"/>
        <v>3016.39</v>
      </c>
      <c r="H15" s="414">
        <f t="shared" si="4"/>
        <v>2038.85</v>
      </c>
      <c r="I15" s="414">
        <f t="shared" si="4"/>
        <v>2324.8700000000003</v>
      </c>
      <c r="J15" s="414">
        <f t="shared" si="4"/>
        <v>2333.1600000000003</v>
      </c>
      <c r="K15" s="414">
        <f t="shared" si="4"/>
        <v>3410.67</v>
      </c>
      <c r="L15" s="414">
        <f t="shared" si="4"/>
        <v>3117.14</v>
      </c>
      <c r="M15" s="414">
        <f t="shared" si="4"/>
        <v>2744.4300000000003</v>
      </c>
      <c r="N15" s="414">
        <f t="shared" si="4"/>
        <v>1841.17</v>
      </c>
      <c r="O15" s="414">
        <f t="shared" si="4"/>
        <v>2722.25</v>
      </c>
      <c r="P15" s="414">
        <f t="shared" si="4"/>
        <v>2505.35</v>
      </c>
      <c r="Q15" s="414">
        <f t="shared" si="4"/>
        <v>2077.9899999999998</v>
      </c>
      <c r="R15" s="414">
        <f t="shared" si="4"/>
        <v>3826.01</v>
      </c>
      <c r="S15" s="414">
        <f t="shared" si="4"/>
        <v>3350.34</v>
      </c>
      <c r="T15" s="414">
        <f t="shared" si="4"/>
        <v>2679.78</v>
      </c>
      <c r="U15" s="414">
        <f t="shared" si="4"/>
        <v>2532.08</v>
      </c>
      <c r="V15" s="414">
        <f t="shared" si="4"/>
        <v>2919.61</v>
      </c>
      <c r="W15" s="414">
        <f t="shared" si="4"/>
        <v>2914.64</v>
      </c>
      <c r="X15" s="414">
        <f t="shared" si="4"/>
        <v>3327.63</v>
      </c>
      <c r="Y15" s="414">
        <f t="shared" si="4"/>
        <v>4487.22</v>
      </c>
      <c r="Z15" s="414">
        <f t="shared" si="4"/>
        <v>4314.09</v>
      </c>
      <c r="AA15" s="414">
        <f t="shared" si="4"/>
        <v>3009.9399999999996</v>
      </c>
      <c r="AB15" s="414">
        <f t="shared" si="4"/>
        <v>3011.64</v>
      </c>
      <c r="AC15" s="414">
        <f t="shared" si="4"/>
        <v>3022.87</v>
      </c>
      <c r="AD15" s="414">
        <f t="shared" si="4"/>
        <v>3024.52</v>
      </c>
      <c r="AE15" s="414">
        <f t="shared" si="4"/>
        <v>3935.14</v>
      </c>
      <c r="AF15" s="414">
        <f t="shared" si="4"/>
        <v>4536.21</v>
      </c>
      <c r="AG15" s="414">
        <f t="shared" si="4"/>
        <v>0</v>
      </c>
      <c r="AH15" s="109">
        <f t="shared" si="1"/>
        <v>100252.7</v>
      </c>
      <c r="AJ15" s="83"/>
      <c r="AK15" s="84" t="s">
        <v>64</v>
      </c>
    </row>
    <row r="16" spans="1:37" ht="15" thickBot="1" x14ac:dyDescent="0.35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2" thickBot="1" x14ac:dyDescent="0.35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7" t="s">
        <v>127</v>
      </c>
      <c r="AK17" s="518"/>
      <c r="AL17" s="518"/>
      <c r="AM17" s="519"/>
    </row>
    <row r="18" spans="1:40" ht="16.2" thickBot="1" x14ac:dyDescent="0.35">
      <c r="A18" s="367" t="str">
        <f>'[1]TEMP Summary'!A12</f>
        <v>01-00-1000</v>
      </c>
      <c r="B18" s="454" t="s">
        <v>189</v>
      </c>
      <c r="C18" s="436">
        <v>606.75</v>
      </c>
      <c r="D18" s="437">
        <v>921.34</v>
      </c>
      <c r="E18" s="437">
        <v>968.73</v>
      </c>
      <c r="F18" s="437">
        <v>531.66</v>
      </c>
      <c r="G18" s="437">
        <v>660.92</v>
      </c>
      <c r="H18" s="437">
        <v>520.84</v>
      </c>
      <c r="I18" s="437">
        <v>765.81</v>
      </c>
      <c r="J18" s="437">
        <v>661.43</v>
      </c>
      <c r="K18" s="437">
        <v>815.6</v>
      </c>
      <c r="L18" s="437">
        <v>583.17999999999995</v>
      </c>
      <c r="M18" s="437">
        <v>565.74</v>
      </c>
      <c r="N18" s="437">
        <v>523.13</v>
      </c>
      <c r="O18" s="437">
        <v>589.17999999999995</v>
      </c>
      <c r="P18" s="437">
        <v>588.53</v>
      </c>
      <c r="Q18" s="437">
        <v>556.23</v>
      </c>
      <c r="R18" s="437">
        <v>651.97</v>
      </c>
      <c r="S18" s="437">
        <v>770.34</v>
      </c>
      <c r="T18" s="107">
        <v>529.29999999999995</v>
      </c>
      <c r="U18" s="107">
        <v>611.57000000000005</v>
      </c>
      <c r="V18" s="107">
        <v>882.23</v>
      </c>
      <c r="W18" s="107">
        <v>831.38</v>
      </c>
      <c r="X18" s="107">
        <v>708.28</v>
      </c>
      <c r="Y18" s="107">
        <v>653.04</v>
      </c>
      <c r="Z18" s="107">
        <v>638.35</v>
      </c>
      <c r="AA18" s="107">
        <v>649.30999999999995</v>
      </c>
      <c r="AB18" s="107">
        <v>636.11</v>
      </c>
      <c r="AC18" s="107">
        <v>671.46</v>
      </c>
      <c r="AD18" s="107">
        <v>675.05</v>
      </c>
      <c r="AE18" s="493">
        <v>645.6</v>
      </c>
      <c r="AF18" s="493">
        <v>594.03</v>
      </c>
      <c r="AG18" s="459"/>
      <c r="AH18" s="419">
        <f t="shared" ref="AH18:AH24" si="5">SUM(C18:AG18)</f>
        <v>20007.089999999993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2" thickBot="1" x14ac:dyDescent="0.35">
      <c r="A19" s="368" t="str">
        <f>'[1]TEMP Summary'!A13</f>
        <v>01-00-1000</v>
      </c>
      <c r="B19" s="455" t="s">
        <v>188</v>
      </c>
      <c r="C19" s="438">
        <v>429.97</v>
      </c>
      <c r="D19" s="439">
        <v>928.24</v>
      </c>
      <c r="E19" s="439">
        <v>994.28</v>
      </c>
      <c r="F19" s="439">
        <v>604.24</v>
      </c>
      <c r="G19" s="439">
        <v>602.86</v>
      </c>
      <c r="H19" s="439">
        <v>365.13</v>
      </c>
      <c r="I19" s="439">
        <v>473.11</v>
      </c>
      <c r="J19" s="439">
        <v>306.64999999999998</v>
      </c>
      <c r="K19" s="439">
        <v>505.97</v>
      </c>
      <c r="L19" s="439">
        <v>699.8</v>
      </c>
      <c r="M19" s="439">
        <v>637.35</v>
      </c>
      <c r="N19" s="439">
        <v>226.86</v>
      </c>
      <c r="O19" s="439">
        <v>397.73</v>
      </c>
      <c r="P19" s="439">
        <v>340.02</v>
      </c>
      <c r="Q19" s="439">
        <v>13</v>
      </c>
      <c r="R19" s="439">
        <v>684.17</v>
      </c>
      <c r="S19" s="439">
        <v>549</v>
      </c>
      <c r="T19" s="125">
        <v>687.45</v>
      </c>
      <c r="U19" s="125">
        <v>735.05</v>
      </c>
      <c r="V19" s="125">
        <v>544.44000000000005</v>
      </c>
      <c r="W19" s="125">
        <v>440.99</v>
      </c>
      <c r="X19" s="125">
        <v>410.11</v>
      </c>
      <c r="Y19" s="125">
        <v>736.28</v>
      </c>
      <c r="Z19" s="125">
        <v>1004.19</v>
      </c>
      <c r="AA19" s="125">
        <v>501.06</v>
      </c>
      <c r="AB19" s="125">
        <v>585.01</v>
      </c>
      <c r="AC19" s="125">
        <v>591</v>
      </c>
      <c r="AD19" s="492">
        <v>702</v>
      </c>
      <c r="AE19" s="492">
        <v>483.84</v>
      </c>
      <c r="AF19" s="492">
        <f>791.17+50</f>
        <v>841.17</v>
      </c>
      <c r="AG19" s="460"/>
      <c r="AH19" s="418">
        <f t="shared" si="5"/>
        <v>17020.97</v>
      </c>
      <c r="AJ19" s="358"/>
      <c r="AK19" s="359"/>
      <c r="AL19" s="359"/>
      <c r="AM19" s="360"/>
    </row>
    <row r="20" spans="1:40" ht="15.6" x14ac:dyDescent="0.3">
      <c r="A20" s="368" t="str">
        <f>'[1]TEMP Summary'!A14</f>
        <v>01-00-1000</v>
      </c>
      <c r="B20" s="455" t="s">
        <v>187</v>
      </c>
      <c r="C20" s="489">
        <v>57.78</v>
      </c>
      <c r="D20" s="486">
        <v>1650.78</v>
      </c>
      <c r="E20" s="486">
        <v>2825.83</v>
      </c>
      <c r="F20" s="486">
        <v>1420.81</v>
      </c>
      <c r="G20" s="486">
        <v>1013.65</v>
      </c>
      <c r="H20" s="486">
        <v>683.63</v>
      </c>
      <c r="I20" s="486">
        <v>531.35</v>
      </c>
      <c r="J20" s="486">
        <v>770.65</v>
      </c>
      <c r="K20" s="486">
        <v>994.91</v>
      </c>
      <c r="L20" s="486">
        <v>1104.8499999999999</v>
      </c>
      <c r="M20" s="486">
        <v>692.22</v>
      </c>
      <c r="N20" s="486">
        <v>595.78</v>
      </c>
      <c r="O20" s="486">
        <v>1048.28</v>
      </c>
      <c r="P20" s="486">
        <v>944.55</v>
      </c>
      <c r="Q20" s="486">
        <v>1437.03</v>
      </c>
      <c r="R20" s="486">
        <v>1293.2</v>
      </c>
      <c r="S20" s="486">
        <v>1145.27</v>
      </c>
      <c r="T20" s="486">
        <v>563.51</v>
      </c>
      <c r="U20" s="486">
        <v>820.78</v>
      </c>
      <c r="V20" s="486">
        <v>937.8</v>
      </c>
      <c r="W20" s="486">
        <v>870.76</v>
      </c>
      <c r="X20" s="486">
        <v>1121.55</v>
      </c>
      <c r="Y20" s="486">
        <v>1508.3</v>
      </c>
      <c r="Z20" s="486">
        <v>1453.57</v>
      </c>
      <c r="AA20" s="486">
        <v>986.42</v>
      </c>
      <c r="AB20" s="496">
        <v>910.18</v>
      </c>
      <c r="AC20" s="496">
        <v>793.78</v>
      </c>
      <c r="AD20" s="496">
        <v>914.83</v>
      </c>
      <c r="AE20" s="496">
        <v>1510.17</v>
      </c>
      <c r="AF20" s="496">
        <v>1520.57</v>
      </c>
      <c r="AG20" s="460"/>
      <c r="AH20" s="418">
        <f t="shared" si="5"/>
        <v>32122.789999999994</v>
      </c>
      <c r="AJ20" s="126" t="s">
        <v>60</v>
      </c>
      <c r="AK20" s="127" t="s">
        <v>54</v>
      </c>
      <c r="AL20" s="452">
        <f>SUM(C18:AC19,AD18)</f>
        <v>33761.42</v>
      </c>
      <c r="AM20" s="453">
        <f>SUM(AE18:AG19,AD19)</f>
        <v>3266.64</v>
      </c>
    </row>
    <row r="21" spans="1:40" ht="15.6" x14ac:dyDescent="0.3">
      <c r="A21" s="368" t="str">
        <f>'[1]TEMP Summary'!A15</f>
        <v>01-00-1000</v>
      </c>
      <c r="B21" s="455" t="s">
        <v>186</v>
      </c>
      <c r="C21" s="489"/>
      <c r="D21" s="486">
        <v>2344.33</v>
      </c>
      <c r="E21" s="486">
        <v>2661.56</v>
      </c>
      <c r="F21" s="486">
        <v>1379.59</v>
      </c>
      <c r="G21" s="486">
        <v>738.96</v>
      </c>
      <c r="H21" s="486">
        <v>469.25</v>
      </c>
      <c r="I21" s="486">
        <v>554.6</v>
      </c>
      <c r="J21" s="486">
        <v>594.42999999999995</v>
      </c>
      <c r="K21" s="486">
        <v>1094.19</v>
      </c>
      <c r="L21" s="486">
        <v>729.31</v>
      </c>
      <c r="M21" s="486">
        <v>849.12</v>
      </c>
      <c r="N21" s="486">
        <v>495.4</v>
      </c>
      <c r="O21" s="486">
        <v>687.06</v>
      </c>
      <c r="P21" s="486">
        <v>632.25</v>
      </c>
      <c r="Q21" s="486">
        <v>71.73</v>
      </c>
      <c r="R21" s="486">
        <v>1196.67</v>
      </c>
      <c r="S21" s="486">
        <v>884.99</v>
      </c>
      <c r="T21" s="486">
        <v>899.52</v>
      </c>
      <c r="U21" s="486">
        <v>364.68</v>
      </c>
      <c r="V21" s="486">
        <v>555.14</v>
      </c>
      <c r="W21" s="486">
        <v>792.51</v>
      </c>
      <c r="X21" s="486">
        <v>1087.69</v>
      </c>
      <c r="Y21" s="486">
        <v>1589.6</v>
      </c>
      <c r="Z21" s="486">
        <v>1217.98</v>
      </c>
      <c r="AA21" s="486">
        <v>873.15</v>
      </c>
      <c r="AB21" s="496">
        <v>880.34</v>
      </c>
      <c r="AC21" s="496">
        <v>966.15</v>
      </c>
      <c r="AD21" s="496">
        <v>732.63</v>
      </c>
      <c r="AE21" s="496">
        <v>1295.53</v>
      </c>
      <c r="AF21" s="496">
        <v>1580.44</v>
      </c>
      <c r="AG21" s="460"/>
      <c r="AH21" s="418">
        <f>SUM(C21:AG21)</f>
        <v>28218.799999999996</v>
      </c>
      <c r="AJ21" s="129" t="s">
        <v>60</v>
      </c>
      <c r="AK21" s="130" t="s">
        <v>202</v>
      </c>
      <c r="AL21" s="290">
        <f>SUM(C20:AA21)-AL29</f>
        <v>47606.429999999993</v>
      </c>
      <c r="AM21" s="291">
        <f>SUM(AB20:AG21)-AM29</f>
        <v>10757.67</v>
      </c>
    </row>
    <row r="22" spans="1:40" ht="15.6" x14ac:dyDescent="0.3">
      <c r="A22" s="368" t="s">
        <v>60</v>
      </c>
      <c r="B22" s="463" t="s">
        <v>204</v>
      </c>
      <c r="C22" s="464"/>
      <c r="D22" s="465"/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2" thickBot="1" x14ac:dyDescent="0.35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1"/>
      <c r="AH23" s="417">
        <f t="shared" si="5"/>
        <v>0</v>
      </c>
      <c r="AJ23" s="361"/>
      <c r="AK23" s="362"/>
      <c r="AL23" s="363"/>
      <c r="AM23" s="364"/>
    </row>
    <row r="24" spans="1:40" ht="16.2" thickBot="1" x14ac:dyDescent="0.35">
      <c r="A24" s="457"/>
      <c r="B24" s="458" t="s">
        <v>65</v>
      </c>
      <c r="C24" s="474">
        <f>SUM(C18:C23)</f>
        <v>1094.5</v>
      </c>
      <c r="D24" s="475">
        <f t="shared" ref="D24:AG24" si="6">SUM(D18:D23)</f>
        <v>5844.69</v>
      </c>
      <c r="E24" s="475">
        <f t="shared" si="6"/>
        <v>7450.4</v>
      </c>
      <c r="F24" s="475">
        <f t="shared" si="6"/>
        <v>3936.3</v>
      </c>
      <c r="G24" s="475">
        <f t="shared" si="6"/>
        <v>3016.39</v>
      </c>
      <c r="H24" s="475">
        <f t="shared" si="6"/>
        <v>2038.85</v>
      </c>
      <c r="I24" s="475">
        <f t="shared" si="6"/>
        <v>2324.87</v>
      </c>
      <c r="J24" s="475">
        <f t="shared" si="6"/>
        <v>2333.16</v>
      </c>
      <c r="K24" s="475">
        <f t="shared" si="6"/>
        <v>3410.67</v>
      </c>
      <c r="L24" s="475">
        <f t="shared" si="6"/>
        <v>3117.14</v>
      </c>
      <c r="M24" s="475">
        <f t="shared" si="6"/>
        <v>2744.4300000000003</v>
      </c>
      <c r="N24" s="475">
        <f t="shared" si="6"/>
        <v>1841.17</v>
      </c>
      <c r="O24" s="475">
        <f t="shared" si="6"/>
        <v>2722.25</v>
      </c>
      <c r="P24" s="475">
        <f t="shared" si="6"/>
        <v>2505.35</v>
      </c>
      <c r="Q24" s="475">
        <f t="shared" si="6"/>
        <v>2077.9899999999998</v>
      </c>
      <c r="R24" s="475">
        <f t="shared" si="6"/>
        <v>3826.01</v>
      </c>
      <c r="S24" s="475">
        <f t="shared" si="6"/>
        <v>3349.6000000000004</v>
      </c>
      <c r="T24" s="475">
        <f t="shared" si="6"/>
        <v>2679.7799999999997</v>
      </c>
      <c r="U24" s="475">
        <f t="shared" si="6"/>
        <v>2532.0799999999995</v>
      </c>
      <c r="V24" s="475">
        <f t="shared" si="6"/>
        <v>2919.61</v>
      </c>
      <c r="W24" s="475">
        <f t="shared" si="6"/>
        <v>2935.6400000000003</v>
      </c>
      <c r="X24" s="475">
        <f t="shared" si="6"/>
        <v>3327.6299999999997</v>
      </c>
      <c r="Y24" s="475">
        <f t="shared" si="6"/>
        <v>4487.2199999999993</v>
      </c>
      <c r="Z24" s="475">
        <f t="shared" si="6"/>
        <v>4314.09</v>
      </c>
      <c r="AA24" s="475">
        <f t="shared" si="6"/>
        <v>3009.94</v>
      </c>
      <c r="AB24" s="475">
        <f t="shared" si="6"/>
        <v>3011.64</v>
      </c>
      <c r="AC24" s="475">
        <f t="shared" si="6"/>
        <v>3022.39</v>
      </c>
      <c r="AD24" s="475">
        <f t="shared" si="6"/>
        <v>3024.51</v>
      </c>
      <c r="AE24" s="475">
        <f t="shared" si="6"/>
        <v>3935.1400000000003</v>
      </c>
      <c r="AF24" s="475">
        <f t="shared" si="6"/>
        <v>4536.2099999999991</v>
      </c>
      <c r="AG24" s="476">
        <f t="shared" si="6"/>
        <v>0</v>
      </c>
      <c r="AH24" s="462">
        <f t="shared" si="5"/>
        <v>97369.65</v>
      </c>
      <c r="AJ24" s="135" t="s">
        <v>84</v>
      </c>
      <c r="AK24" s="136" t="s">
        <v>33</v>
      </c>
      <c r="AL24" s="292">
        <f>SUM(AH26:AH27)</f>
        <v>2883.05</v>
      </c>
      <c r="AM24" s="293"/>
      <c r="AN24" s="116" t="s">
        <v>129</v>
      </c>
    </row>
    <row r="25" spans="1:40" ht="16.2" thickBot="1" x14ac:dyDescent="0.35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6" t="s">
        <v>76</v>
      </c>
      <c r="AK25" s="520"/>
      <c r="AL25" s="521">
        <f>SUM(AL20:AM24)</f>
        <v>98275.209999999992</v>
      </c>
      <c r="AM25" s="522"/>
      <c r="AN25" s="294">
        <f>AL25-(AH24+AH26+AH27-AH29)</f>
        <v>0</v>
      </c>
    </row>
    <row r="26" spans="1:40" ht="15.6" x14ac:dyDescent="0.3">
      <c r="A26" s="416"/>
      <c r="B26" s="415" t="s">
        <v>185</v>
      </c>
      <c r="C26" s="414">
        <f t="shared" ref="C26:AG26" si="7">SUM(C3:C7)-(C18+C20)</f>
        <v>914.90000000000009</v>
      </c>
      <c r="D26" s="414">
        <f t="shared" si="7"/>
        <v>1110.8200000000002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-21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2004.7200000000003</v>
      </c>
    </row>
    <row r="27" spans="1:40" ht="16.2" thickBot="1" x14ac:dyDescent="0.35">
      <c r="A27" s="413"/>
      <c r="B27" s="183" t="s">
        <v>184</v>
      </c>
      <c r="C27" s="412">
        <f t="shared" ref="C27:AG27" si="8">SUM(C9:C13)-(C19+C21)</f>
        <v>877.10000000000014</v>
      </c>
      <c r="D27" s="412">
        <f t="shared" si="8"/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0.74000000000000909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0.48000000000001819</v>
      </c>
      <c r="AD27" s="412">
        <f t="shared" si="8"/>
        <v>9.9999999999909051E-3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878.33000000000015</v>
      </c>
    </row>
    <row r="28" spans="1:40" ht="16.2" thickBot="1" x14ac:dyDescent="0.35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2" thickBot="1" x14ac:dyDescent="0.35">
      <c r="A29" s="448" t="s">
        <v>203</v>
      </c>
      <c r="B29" s="449" t="s">
        <v>195</v>
      </c>
      <c r="C29" s="487">
        <v>57.78</v>
      </c>
      <c r="D29" s="487">
        <v>159.63999999999999</v>
      </c>
      <c r="E29" s="487">
        <v>171.37</v>
      </c>
      <c r="F29" s="487">
        <v>87.55</v>
      </c>
      <c r="G29" s="487">
        <v>54.78</v>
      </c>
      <c r="H29" s="487">
        <v>36.03</v>
      </c>
      <c r="I29" s="487">
        <v>33.93</v>
      </c>
      <c r="J29" s="487">
        <v>42.64</v>
      </c>
      <c r="K29" s="487">
        <v>65.34</v>
      </c>
      <c r="L29" s="487">
        <v>57.31</v>
      </c>
      <c r="M29" s="487">
        <v>48.17</v>
      </c>
      <c r="N29" s="487">
        <v>34.1</v>
      </c>
      <c r="O29" s="487">
        <v>54.21</v>
      </c>
      <c r="P29" s="487">
        <v>49.27</v>
      </c>
      <c r="Q29" s="487">
        <v>47.19</v>
      </c>
      <c r="R29" s="487">
        <v>77.92</v>
      </c>
      <c r="S29" s="487">
        <v>63.42</v>
      </c>
      <c r="T29" s="487">
        <v>46.14</v>
      </c>
      <c r="U29" s="487">
        <v>37.03</v>
      </c>
      <c r="V29" s="487">
        <v>46.64</v>
      </c>
      <c r="W29" s="487">
        <v>51.98</v>
      </c>
      <c r="X29" s="487">
        <v>69.05</v>
      </c>
      <c r="Y29" s="487">
        <v>97.4</v>
      </c>
      <c r="Z29" s="487">
        <v>83.49</v>
      </c>
      <c r="AA29" s="487">
        <v>58.16</v>
      </c>
      <c r="AB29" s="497">
        <v>55.95</v>
      </c>
      <c r="AC29" s="497">
        <v>54.99</v>
      </c>
      <c r="AD29" s="497">
        <v>51.46</v>
      </c>
      <c r="AE29" s="497">
        <v>87.64</v>
      </c>
      <c r="AF29" s="497">
        <v>96.91</v>
      </c>
      <c r="AG29" s="450"/>
      <c r="AH29" s="451">
        <f>SUM(C29:AG29)</f>
        <v>1977.4900000000007</v>
      </c>
      <c r="AJ29" s="211" t="s">
        <v>203</v>
      </c>
      <c r="AK29" s="212" t="s">
        <v>197</v>
      </c>
      <c r="AL29" s="271">
        <f>SUM(C29:AA29)</f>
        <v>1630.5400000000004</v>
      </c>
      <c r="AM29" s="272">
        <f>SUM(AB29:AG29)</f>
        <v>346.95000000000005</v>
      </c>
    </row>
    <row r="30" spans="1:40" ht="16.2" thickBot="1" x14ac:dyDescent="0.35">
      <c r="B30" s="60" t="s">
        <v>232</v>
      </c>
      <c r="C30" s="484">
        <f>C20+C21-C29</f>
        <v>0</v>
      </c>
      <c r="D30" s="484">
        <f t="shared" ref="D30:AG30" si="9">D20+D21-D29</f>
        <v>3835.47</v>
      </c>
      <c r="E30" s="484">
        <f t="shared" si="9"/>
        <v>5316.0199999999995</v>
      </c>
      <c r="F30" s="484">
        <f t="shared" si="9"/>
        <v>2712.8499999999995</v>
      </c>
      <c r="G30" s="484">
        <f t="shared" si="9"/>
        <v>1697.8300000000002</v>
      </c>
      <c r="H30" s="484">
        <f t="shared" si="9"/>
        <v>1116.8500000000001</v>
      </c>
      <c r="I30" s="484">
        <f t="shared" si="9"/>
        <v>1052.02</v>
      </c>
      <c r="J30" s="484">
        <f t="shared" si="9"/>
        <v>1322.4399999999998</v>
      </c>
      <c r="K30" s="484">
        <f t="shared" si="9"/>
        <v>2023.76</v>
      </c>
      <c r="L30" s="484">
        <f t="shared" si="9"/>
        <v>1776.85</v>
      </c>
      <c r="M30" s="484">
        <f t="shared" si="9"/>
        <v>1493.17</v>
      </c>
      <c r="N30" s="484">
        <f t="shared" si="9"/>
        <v>1057.08</v>
      </c>
      <c r="O30" s="484">
        <f t="shared" si="9"/>
        <v>1681.1299999999999</v>
      </c>
      <c r="P30" s="484">
        <f t="shared" si="9"/>
        <v>1527.53</v>
      </c>
      <c r="Q30" s="484">
        <f t="shared" si="9"/>
        <v>1461.57</v>
      </c>
      <c r="R30" s="484">
        <f t="shared" si="9"/>
        <v>2411.9499999999998</v>
      </c>
      <c r="S30" s="484">
        <f t="shared" si="9"/>
        <v>1966.84</v>
      </c>
      <c r="T30" s="484">
        <f t="shared" si="9"/>
        <v>1416.8899999999999</v>
      </c>
      <c r="U30" s="484">
        <f t="shared" si="9"/>
        <v>1148.43</v>
      </c>
      <c r="V30" s="484">
        <f t="shared" si="9"/>
        <v>1446.3</v>
      </c>
      <c r="W30" s="484">
        <f t="shared" si="9"/>
        <v>1611.29</v>
      </c>
      <c r="X30" s="484">
        <f t="shared" si="9"/>
        <v>2140.1899999999996</v>
      </c>
      <c r="Y30" s="484">
        <f t="shared" si="9"/>
        <v>3000.4999999999995</v>
      </c>
      <c r="Z30" s="484">
        <f t="shared" si="9"/>
        <v>2588.0600000000004</v>
      </c>
      <c r="AA30" s="484">
        <f t="shared" si="9"/>
        <v>1801.4099999999999</v>
      </c>
      <c r="AB30" s="484">
        <f t="shared" si="9"/>
        <v>1734.57</v>
      </c>
      <c r="AC30" s="484">
        <f t="shared" si="9"/>
        <v>1704.9399999999998</v>
      </c>
      <c r="AD30" s="484">
        <f t="shared" si="9"/>
        <v>1596</v>
      </c>
      <c r="AE30" s="484">
        <f t="shared" si="9"/>
        <v>2718.06</v>
      </c>
      <c r="AF30" s="484">
        <f t="shared" si="9"/>
        <v>3004.1000000000004</v>
      </c>
      <c r="AG30" s="484">
        <f t="shared" si="9"/>
        <v>0</v>
      </c>
      <c r="AH30" s="61"/>
    </row>
    <row r="31" spans="1:40" ht="16.2" thickBot="1" x14ac:dyDescent="0.35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5" t="s">
        <v>57</v>
      </c>
      <c r="AK31" s="516"/>
    </row>
    <row r="32" spans="1:40" x14ac:dyDescent="0.3">
      <c r="A32" s="168"/>
      <c r="B32" s="139" t="s">
        <v>75</v>
      </c>
      <c r="C32" s="144">
        <v>142</v>
      </c>
      <c r="D32" s="144">
        <v>387</v>
      </c>
      <c r="E32" s="144">
        <v>377</v>
      </c>
      <c r="F32" s="144">
        <v>195</v>
      </c>
      <c r="G32" s="144">
        <v>144</v>
      </c>
      <c r="H32" s="144">
        <v>122</v>
      </c>
      <c r="I32" s="144">
        <v>114</v>
      </c>
      <c r="J32" s="144">
        <v>118</v>
      </c>
      <c r="K32" s="144">
        <v>172</v>
      </c>
      <c r="L32" s="144">
        <v>149</v>
      </c>
      <c r="M32" s="144">
        <v>108</v>
      </c>
      <c r="N32" s="144">
        <v>78</v>
      </c>
      <c r="O32" s="144">
        <v>138</v>
      </c>
      <c r="P32" s="144">
        <v>93</v>
      </c>
      <c r="Q32" s="144">
        <v>215</v>
      </c>
      <c r="R32" s="144">
        <v>201</v>
      </c>
      <c r="S32" s="144">
        <v>170</v>
      </c>
      <c r="T32" s="144">
        <v>107</v>
      </c>
      <c r="U32" s="144">
        <v>108</v>
      </c>
      <c r="V32" s="144">
        <v>129</v>
      </c>
      <c r="W32" s="144">
        <v>136</v>
      </c>
      <c r="X32" s="144">
        <v>150</v>
      </c>
      <c r="Y32" s="144">
        <v>215</v>
      </c>
      <c r="Z32" s="144">
        <v>181</v>
      </c>
      <c r="AA32" s="144">
        <f>'[1]TEMP Summary'!$T$22</f>
        <v>0</v>
      </c>
      <c r="AB32" s="144">
        <v>121</v>
      </c>
      <c r="AC32" s="144">
        <v>94</v>
      </c>
      <c r="AD32" s="144">
        <v>146</v>
      </c>
      <c r="AE32" s="144">
        <v>183</v>
      </c>
      <c r="AF32" s="144">
        <v>203</v>
      </c>
      <c r="AG32" s="144">
        <f>'[1]TEMP Summary'!$T$22</f>
        <v>0</v>
      </c>
      <c r="AH32" s="411">
        <f t="shared" ref="AH32:AH44" si="10">SUM(C32:AG32)</f>
        <v>4696</v>
      </c>
      <c r="AJ32" s="257">
        <f>AH32+AH39</f>
        <v>8887</v>
      </c>
      <c r="AK32" s="258" t="s">
        <v>75</v>
      </c>
    </row>
    <row r="33" spans="1:37" x14ac:dyDescent="0.3">
      <c r="A33" s="168"/>
      <c r="B33" s="143" t="s">
        <v>74</v>
      </c>
      <c r="C33" s="144">
        <v>15</v>
      </c>
      <c r="D33" s="144">
        <v>73</v>
      </c>
      <c r="E33" s="144">
        <v>90</v>
      </c>
      <c r="F33" s="144">
        <v>30</v>
      </c>
      <c r="G33" s="144">
        <v>22</v>
      </c>
      <c r="H33" s="144">
        <v>4</v>
      </c>
      <c r="I33" s="144"/>
      <c r="J33" s="144">
        <v>11</v>
      </c>
      <c r="K33" s="144">
        <v>25</v>
      </c>
      <c r="L33" s="144">
        <v>21</v>
      </c>
      <c r="M33" s="144">
        <v>5</v>
      </c>
      <c r="N33" s="144">
        <v>2</v>
      </c>
      <c r="O33" s="144">
        <v>4</v>
      </c>
      <c r="P33" s="144">
        <v>3</v>
      </c>
      <c r="Q33" s="144">
        <v>10</v>
      </c>
      <c r="R33" s="144">
        <v>23</v>
      </c>
      <c r="S33" s="144">
        <v>27</v>
      </c>
      <c r="T33" s="144">
        <v>6</v>
      </c>
      <c r="U33" s="144">
        <v>6</v>
      </c>
      <c r="V33" s="144">
        <v>15</v>
      </c>
      <c r="W33" s="144">
        <v>24</v>
      </c>
      <c r="X33" s="144">
        <v>19</v>
      </c>
      <c r="Y33" s="144">
        <v>50</v>
      </c>
      <c r="Z33" s="144">
        <v>28</v>
      </c>
      <c r="AA33" s="144">
        <f>'[1]TEMP Summary'!$T$22</f>
        <v>0</v>
      </c>
      <c r="AB33" s="144">
        <v>13</v>
      </c>
      <c r="AC33" s="144">
        <v>6</v>
      </c>
      <c r="AD33" s="144">
        <v>11</v>
      </c>
      <c r="AE33" s="144">
        <v>24</v>
      </c>
      <c r="AF33" s="144">
        <v>36</v>
      </c>
      <c r="AG33" s="144">
        <f>'[1]TEMP Summary'!$T$22</f>
        <v>0</v>
      </c>
      <c r="AH33" s="410">
        <f t="shared" si="10"/>
        <v>603</v>
      </c>
      <c r="AJ33" s="257">
        <f t="shared" ref="AJ33:AJ37" si="11">AH33+AH40</f>
        <v>1207</v>
      </c>
      <c r="AK33" s="258" t="s">
        <v>74</v>
      </c>
    </row>
    <row r="34" spans="1:37" x14ac:dyDescent="0.3">
      <c r="A34" s="168"/>
      <c r="B34" s="143" t="s">
        <v>199</v>
      </c>
      <c r="C34" s="144">
        <v>1</v>
      </c>
      <c r="D34" s="144">
        <v>8</v>
      </c>
      <c r="E34" s="144">
        <v>4</v>
      </c>
      <c r="F34" s="144">
        <v>8</v>
      </c>
      <c r="G34" s="144">
        <v>1</v>
      </c>
      <c r="H34" s="144">
        <f>'[1]TEMP Summary'!$T$22</f>
        <v>0</v>
      </c>
      <c r="I34" s="144">
        <v>1</v>
      </c>
      <c r="J34" s="144">
        <f>'[1]TEMP Summary'!$T$22</f>
        <v>0</v>
      </c>
      <c r="K34" s="144">
        <v>2</v>
      </c>
      <c r="L34" s="144">
        <f>'[1]TEMP Summary'!$T$22</f>
        <v>0</v>
      </c>
      <c r="M34" s="144">
        <v>4</v>
      </c>
      <c r="N34" s="144">
        <v>2</v>
      </c>
      <c r="O34" s="144">
        <v>1</v>
      </c>
      <c r="P34" s="144">
        <f>'[1]TEMP Summary'!$T$22</f>
        <v>0</v>
      </c>
      <c r="Q34" s="144">
        <v>8</v>
      </c>
      <c r="R34" s="144">
        <f>'[1]TEMP Summary'!$T$22</f>
        <v>0</v>
      </c>
      <c r="S34" s="144">
        <v>1</v>
      </c>
      <c r="T34" s="144">
        <v>5</v>
      </c>
      <c r="U34" s="144">
        <f>'[1]TEMP Summary'!$T$22</f>
        <v>0</v>
      </c>
      <c r="V34" s="144">
        <v>1</v>
      </c>
      <c r="W34" s="144">
        <v>3</v>
      </c>
      <c r="X34" s="144">
        <v>3</v>
      </c>
      <c r="Y34" s="144">
        <v>2</v>
      </c>
      <c r="Z34" s="144">
        <v>1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v>7</v>
      </c>
      <c r="AF34" s="144">
        <v>2</v>
      </c>
      <c r="AG34" s="144">
        <f>'[1]TEMP Summary'!$T$22</f>
        <v>0</v>
      </c>
      <c r="AH34" s="410">
        <f t="shared" si="10"/>
        <v>65</v>
      </c>
      <c r="AJ34" s="257">
        <f t="shared" si="11"/>
        <v>203</v>
      </c>
      <c r="AK34" s="258" t="s">
        <v>200</v>
      </c>
    </row>
    <row r="35" spans="1:37" x14ac:dyDescent="0.3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v>15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v>36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v>25</v>
      </c>
      <c r="AF35" s="144">
        <f>'[1]TEMP Summary'!$T$22</f>
        <v>0</v>
      </c>
      <c r="AG35" s="144">
        <f>'[1]TEMP Summary'!$T$22</f>
        <v>0</v>
      </c>
      <c r="AH35" s="410">
        <f t="shared" si="10"/>
        <v>76</v>
      </c>
      <c r="AJ35" s="257">
        <f t="shared" si="11"/>
        <v>122</v>
      </c>
      <c r="AK35" s="258" t="s">
        <v>72</v>
      </c>
    </row>
    <row r="36" spans="1:37" x14ac:dyDescent="0.3">
      <c r="A36" s="168"/>
      <c r="B36" s="143" t="s">
        <v>73</v>
      </c>
      <c r="C36" s="144">
        <v>52</v>
      </c>
      <c r="D36" s="144">
        <v>42</v>
      </c>
      <c r="E36" s="144">
        <v>35</v>
      </c>
      <c r="F36" s="144">
        <v>22</v>
      </c>
      <c r="G36" s="144">
        <v>55</v>
      </c>
      <c r="H36" s="144">
        <v>47</v>
      </c>
      <c r="I36" s="144">
        <v>70</v>
      </c>
      <c r="J36" s="144">
        <v>66</v>
      </c>
      <c r="K36" s="144">
        <v>51</v>
      </c>
      <c r="L36" s="144">
        <v>43</v>
      </c>
      <c r="M36" s="144">
        <v>56</v>
      </c>
      <c r="N36" s="144">
        <v>70</v>
      </c>
      <c r="O36" s="144">
        <v>73</v>
      </c>
      <c r="P36" s="144">
        <v>82</v>
      </c>
      <c r="Q36" s="144">
        <v>45</v>
      </c>
      <c r="R36" s="144">
        <v>55</v>
      </c>
      <c r="S36" s="144">
        <v>71</v>
      </c>
      <c r="T36" s="144">
        <v>38</v>
      </c>
      <c r="U36" s="144">
        <v>78</v>
      </c>
      <c r="V36" s="144">
        <v>83</v>
      </c>
      <c r="W36" s="144">
        <v>77</v>
      </c>
      <c r="X36" s="144">
        <v>58</v>
      </c>
      <c r="Y36" s="144">
        <v>50</v>
      </c>
      <c r="Z36" s="144">
        <v>61</v>
      </c>
      <c r="AA36" s="144">
        <f>'[1]TEMP Summary'!$T$22</f>
        <v>0</v>
      </c>
      <c r="AB36" s="144">
        <v>71</v>
      </c>
      <c r="AC36" s="144">
        <v>100</v>
      </c>
      <c r="AD36" s="144">
        <v>63</v>
      </c>
      <c r="AE36" s="144">
        <v>69</v>
      </c>
      <c r="AF36" s="144">
        <v>47</v>
      </c>
      <c r="AG36" s="144">
        <f>'[1]TEMP Summary'!$T$22</f>
        <v>0</v>
      </c>
      <c r="AH36" s="410">
        <f t="shared" si="10"/>
        <v>1730</v>
      </c>
      <c r="AJ36" s="257">
        <f t="shared" si="11"/>
        <v>3378</v>
      </c>
      <c r="AK36" s="258" t="s">
        <v>73</v>
      </c>
    </row>
    <row r="37" spans="1:37" x14ac:dyDescent="0.3">
      <c r="A37" s="168"/>
      <c r="B37" s="143" t="s">
        <v>71</v>
      </c>
      <c r="C37" s="144">
        <v>14</v>
      </c>
      <c r="D37" s="144">
        <v>3</v>
      </c>
      <c r="E37" s="144">
        <v>10</v>
      </c>
      <c r="F37" s="144">
        <v>10</v>
      </c>
      <c r="G37" s="144">
        <v>4</v>
      </c>
      <c r="H37" s="144">
        <v>4</v>
      </c>
      <c r="I37" s="144">
        <v>5</v>
      </c>
      <c r="J37" s="144">
        <v>16</v>
      </c>
      <c r="K37" s="144">
        <v>2</v>
      </c>
      <c r="L37" s="144">
        <v>16</v>
      </c>
      <c r="M37" s="144">
        <v>22</v>
      </c>
      <c r="N37" s="144">
        <v>13</v>
      </c>
      <c r="O37" s="144">
        <v>14</v>
      </c>
      <c r="P37" s="144">
        <v>16</v>
      </c>
      <c r="Q37" s="144">
        <v>14</v>
      </c>
      <c r="R37" s="144">
        <v>1</v>
      </c>
      <c r="S37" s="144">
        <v>4</v>
      </c>
      <c r="T37" s="144">
        <v>4</v>
      </c>
      <c r="U37" s="144">
        <v>19</v>
      </c>
      <c r="V37" s="144">
        <v>13</v>
      </c>
      <c r="W37" s="144">
        <v>9</v>
      </c>
      <c r="X37" s="144">
        <v>9</v>
      </c>
      <c r="Y37" s="144">
        <f>'[1]TEMP Summary'!$T$22</f>
        <v>0</v>
      </c>
      <c r="Z37" s="144">
        <v>15</v>
      </c>
      <c r="AA37" s="144">
        <f>'[1]TEMP Summary'!$T$22</f>
        <v>0</v>
      </c>
      <c r="AB37" s="144">
        <v>6</v>
      </c>
      <c r="AC37" s="144">
        <v>25</v>
      </c>
      <c r="AD37" s="144">
        <v>11</v>
      </c>
      <c r="AE37" s="144">
        <v>32</v>
      </c>
      <c r="AF37" s="144">
        <v>13</v>
      </c>
      <c r="AG37" s="144">
        <f>'[1]TEMP Summary'!$T$22</f>
        <v>0</v>
      </c>
      <c r="AH37" s="410">
        <f t="shared" si="10"/>
        <v>324</v>
      </c>
      <c r="AJ37" s="257">
        <f t="shared" si="11"/>
        <v>534</v>
      </c>
      <c r="AK37" s="258" t="s">
        <v>71</v>
      </c>
    </row>
    <row r="38" spans="1:37" ht="15" thickBot="1" x14ac:dyDescent="0.35">
      <c r="A38" s="168"/>
      <c r="B38" s="440" t="s">
        <v>183</v>
      </c>
      <c r="C38" s="441">
        <f t="shared" ref="C38:AG38" si="12">SUM(C32:C37)</f>
        <v>224</v>
      </c>
      <c r="D38" s="442">
        <f t="shared" si="12"/>
        <v>513</v>
      </c>
      <c r="E38" s="442">
        <f t="shared" si="12"/>
        <v>531</v>
      </c>
      <c r="F38" s="442">
        <f t="shared" si="12"/>
        <v>265</v>
      </c>
      <c r="G38" s="442">
        <f t="shared" si="12"/>
        <v>226</v>
      </c>
      <c r="H38" s="442">
        <f t="shared" si="12"/>
        <v>177</v>
      </c>
      <c r="I38" s="442">
        <f t="shared" si="12"/>
        <v>190</v>
      </c>
      <c r="J38" s="442">
        <f t="shared" si="12"/>
        <v>211</v>
      </c>
      <c r="K38" s="442">
        <f t="shared" si="12"/>
        <v>252</v>
      </c>
      <c r="L38" s="442">
        <f t="shared" si="12"/>
        <v>229</v>
      </c>
      <c r="M38" s="442">
        <f t="shared" si="12"/>
        <v>195</v>
      </c>
      <c r="N38" s="442">
        <f t="shared" si="12"/>
        <v>165</v>
      </c>
      <c r="O38" s="442">
        <f t="shared" si="12"/>
        <v>230</v>
      </c>
      <c r="P38" s="442">
        <f t="shared" si="12"/>
        <v>230</v>
      </c>
      <c r="Q38" s="442">
        <f t="shared" si="12"/>
        <v>292</v>
      </c>
      <c r="R38" s="442">
        <f t="shared" si="12"/>
        <v>280</v>
      </c>
      <c r="S38" s="442">
        <f t="shared" si="12"/>
        <v>273</v>
      </c>
      <c r="T38" s="442">
        <f t="shared" si="12"/>
        <v>160</v>
      </c>
      <c r="U38" s="442">
        <f t="shared" si="12"/>
        <v>211</v>
      </c>
      <c r="V38" s="442">
        <f t="shared" si="12"/>
        <v>241</v>
      </c>
      <c r="W38" s="442">
        <f t="shared" si="12"/>
        <v>249</v>
      </c>
      <c r="X38" s="442">
        <f t="shared" si="12"/>
        <v>239</v>
      </c>
      <c r="Y38" s="442">
        <f t="shared" si="12"/>
        <v>317</v>
      </c>
      <c r="Z38" s="442">
        <f t="shared" si="12"/>
        <v>286</v>
      </c>
      <c r="AA38" s="442">
        <f t="shared" si="12"/>
        <v>0</v>
      </c>
      <c r="AB38" s="442">
        <f t="shared" si="12"/>
        <v>211</v>
      </c>
      <c r="AC38" s="442">
        <f t="shared" si="12"/>
        <v>225</v>
      </c>
      <c r="AD38" s="442">
        <f t="shared" si="12"/>
        <v>231</v>
      </c>
      <c r="AE38" s="442">
        <f t="shared" si="12"/>
        <v>340</v>
      </c>
      <c r="AF38" s="442">
        <f t="shared" si="12"/>
        <v>301</v>
      </c>
      <c r="AG38" s="443">
        <f t="shared" si="12"/>
        <v>0</v>
      </c>
      <c r="AH38" s="409">
        <f>SUM(C38:AG38)</f>
        <v>7494</v>
      </c>
      <c r="AJ38" s="257"/>
      <c r="AK38" s="258"/>
    </row>
    <row r="39" spans="1:37" x14ac:dyDescent="0.3">
      <c r="A39" s="168"/>
      <c r="B39" s="408" t="s">
        <v>75</v>
      </c>
      <c r="C39" s="140">
        <f>293-C32</f>
        <v>151</v>
      </c>
      <c r="D39" s="140">
        <f>705-D32</f>
        <v>318</v>
      </c>
      <c r="E39" s="140">
        <f>716-E32</f>
        <v>339</v>
      </c>
      <c r="F39" s="140">
        <f>383-F32</f>
        <v>188</v>
      </c>
      <c r="G39" s="140">
        <f>251-G32</f>
        <v>107</v>
      </c>
      <c r="H39" s="140">
        <f>205-H32</f>
        <v>83</v>
      </c>
      <c r="I39" s="140">
        <f>189-I32</f>
        <v>75</v>
      </c>
      <c r="J39" s="140">
        <f>207-J32</f>
        <v>89</v>
      </c>
      <c r="K39" s="140">
        <f>339-K32</f>
        <v>167</v>
      </c>
      <c r="L39" s="140">
        <f>275-L32</f>
        <v>126</v>
      </c>
      <c r="M39" s="140">
        <f>222-M32</f>
        <v>114</v>
      </c>
      <c r="N39" s="140">
        <f>132-N32</f>
        <v>54</v>
      </c>
      <c r="O39" s="140">
        <f>218-O32</f>
        <v>80</v>
      </c>
      <c r="P39" s="140">
        <f>174-P32</f>
        <v>81</v>
      </c>
      <c r="Q39" s="140">
        <f>'[1]TEMP Summary'!$T$22</f>
        <v>0</v>
      </c>
      <c r="R39" s="140">
        <f>373-R32</f>
        <v>172</v>
      </c>
      <c r="S39" s="140">
        <f>298-S32</f>
        <v>128</v>
      </c>
      <c r="T39" s="140">
        <f>226-T32</f>
        <v>119</v>
      </c>
      <c r="U39" s="140">
        <f>181-U32</f>
        <v>73</v>
      </c>
      <c r="V39" s="140">
        <f>212-V32</f>
        <v>83</v>
      </c>
      <c r="W39" s="140">
        <f>249-W32</f>
        <v>113</v>
      </c>
      <c r="X39" s="140">
        <f>284-X32</f>
        <v>134</v>
      </c>
      <c r="Y39" s="140">
        <f>414-Y32</f>
        <v>199</v>
      </c>
      <c r="Z39" s="140">
        <f>370-Z32</f>
        <v>189</v>
      </c>
      <c r="AA39" s="140">
        <f>268-AA32</f>
        <v>268</v>
      </c>
      <c r="AB39" s="140">
        <f>254-AB32</f>
        <v>133</v>
      </c>
      <c r="AC39" s="140">
        <f>197-AC32</f>
        <v>103</v>
      </c>
      <c r="AD39" s="140">
        <f>265-AD32</f>
        <v>119</v>
      </c>
      <c r="AE39" s="140">
        <f>336-AE32</f>
        <v>153</v>
      </c>
      <c r="AF39" s="140">
        <f>436-AF32</f>
        <v>233</v>
      </c>
      <c r="AG39" s="141">
        <f>'[1]TEMP Summary'!$T$22</f>
        <v>0</v>
      </c>
      <c r="AH39" s="142">
        <f t="shared" si="10"/>
        <v>4191</v>
      </c>
      <c r="AJ39" s="257"/>
      <c r="AK39" s="258"/>
    </row>
    <row r="40" spans="1:37" x14ac:dyDescent="0.3">
      <c r="A40" s="168"/>
      <c r="B40" s="143" t="s">
        <v>74</v>
      </c>
      <c r="C40" s="144">
        <f>36-C33</f>
        <v>21</v>
      </c>
      <c r="D40" s="144">
        <f>136-D33</f>
        <v>63</v>
      </c>
      <c r="E40" s="144">
        <f>195-E33</f>
        <v>105</v>
      </c>
      <c r="F40" s="144">
        <f>62-F33</f>
        <v>32</v>
      </c>
      <c r="G40" s="144">
        <f>37-G33</f>
        <v>15</v>
      </c>
      <c r="H40" s="144">
        <f>13-H33</f>
        <v>9</v>
      </c>
      <c r="I40" s="144">
        <v>12</v>
      </c>
      <c r="J40" s="144">
        <f>14-J33</f>
        <v>3</v>
      </c>
      <c r="K40" s="144">
        <f>48-K33</f>
        <v>23</v>
      </c>
      <c r="L40" s="144">
        <f>30-L33</f>
        <v>9</v>
      </c>
      <c r="M40" s="144">
        <f>18-M33</f>
        <v>13</v>
      </c>
      <c r="N40" s="144">
        <f>6-N33</f>
        <v>4</v>
      </c>
      <c r="O40" s="144">
        <f>17-O33</f>
        <v>13</v>
      </c>
      <c r="P40" s="144">
        <f>8-P33</f>
        <v>5</v>
      </c>
      <c r="Q40" s="144">
        <f>'[1]TEMP Summary'!$T$22</f>
        <v>0</v>
      </c>
      <c r="R40" s="144">
        <f>39-R33</f>
        <v>16</v>
      </c>
      <c r="S40" s="144">
        <f>35-S33</f>
        <v>8</v>
      </c>
      <c r="T40" s="144">
        <f>14-T33</f>
        <v>8</v>
      </c>
      <c r="U40" s="144">
        <f>11-U33</f>
        <v>5</v>
      </c>
      <c r="V40" s="144">
        <f>24-V33</f>
        <v>9</v>
      </c>
      <c r="W40" s="144">
        <f>30-W33</f>
        <v>6</v>
      </c>
      <c r="X40" s="144">
        <f>39-X33</f>
        <v>20</v>
      </c>
      <c r="Y40" s="144">
        <f>79-Y33</f>
        <v>29</v>
      </c>
      <c r="Z40" s="144">
        <f>53-Z33</f>
        <v>25</v>
      </c>
      <c r="AA40" s="144">
        <f>33-AA33</f>
        <v>33</v>
      </c>
      <c r="AB40" s="144">
        <f>20-AB33</f>
        <v>7</v>
      </c>
      <c r="AC40" s="144">
        <f>34-AC33</f>
        <v>28</v>
      </c>
      <c r="AD40" s="144">
        <f>22-AD33</f>
        <v>11</v>
      </c>
      <c r="AE40" s="144">
        <f>51-AE33</f>
        <v>27</v>
      </c>
      <c r="AF40" s="144">
        <f>81-AF33</f>
        <v>45</v>
      </c>
      <c r="AG40" s="145">
        <f>'[1]TEMP Summary'!$T$22</f>
        <v>0</v>
      </c>
      <c r="AH40" s="142">
        <f t="shared" si="10"/>
        <v>604</v>
      </c>
      <c r="AJ40" s="257"/>
      <c r="AK40" s="258"/>
    </row>
    <row r="41" spans="1:37" x14ac:dyDescent="0.3">
      <c r="A41" s="168"/>
      <c r="B41" s="143" t="s">
        <v>199</v>
      </c>
      <c r="C41" s="144">
        <f>5-C34</f>
        <v>4</v>
      </c>
      <c r="D41" s="144">
        <f>20-D34</f>
        <v>12</v>
      </c>
      <c r="E41" s="144">
        <f>17-E34</f>
        <v>13</v>
      </c>
      <c r="F41" s="144">
        <f>20-F34</f>
        <v>12</v>
      </c>
      <c r="G41" s="144">
        <f>6-G34</f>
        <v>5</v>
      </c>
      <c r="H41" s="144">
        <f>'[1]TEMP Summary'!$T$22</f>
        <v>0</v>
      </c>
      <c r="I41" s="144">
        <f>5-I34</f>
        <v>4</v>
      </c>
      <c r="J41" s="144">
        <v>5</v>
      </c>
      <c r="K41" s="144">
        <f>4-K34</f>
        <v>2</v>
      </c>
      <c r="L41" s="144">
        <v>2</v>
      </c>
      <c r="M41" s="144">
        <f>6-M34</f>
        <v>2</v>
      </c>
      <c r="N41" s="144">
        <f>7-N34</f>
        <v>5</v>
      </c>
      <c r="O41" s="144">
        <f>5-O34</f>
        <v>4</v>
      </c>
      <c r="P41" s="144">
        <f>'[1]TEMP Summary'!$T$22</f>
        <v>0</v>
      </c>
      <c r="Q41" s="144">
        <f>'[1]TEMP Summary'!$T$22</f>
        <v>0</v>
      </c>
      <c r="R41" s="144">
        <v>5</v>
      </c>
      <c r="S41" s="144">
        <f>2-S34</f>
        <v>1</v>
      </c>
      <c r="T41" s="144">
        <f>7-T34</f>
        <v>2</v>
      </c>
      <c r="U41" s="144">
        <v>5</v>
      </c>
      <c r="V41" s="144">
        <v>0</v>
      </c>
      <c r="W41" s="144">
        <f>7-W34</f>
        <v>4</v>
      </c>
      <c r="X41" s="144">
        <f>6-X34</f>
        <v>3</v>
      </c>
      <c r="Y41" s="144">
        <f>10-Y34</f>
        <v>8</v>
      </c>
      <c r="Z41" s="144">
        <f>6-Z34</f>
        <v>5</v>
      </c>
      <c r="AA41" s="144">
        <f>10-AA34</f>
        <v>10</v>
      </c>
      <c r="AB41" s="144">
        <v>4</v>
      </c>
      <c r="AC41" s="144">
        <f>'[1]TEMP Summary'!$T$22</f>
        <v>0</v>
      </c>
      <c r="AD41" s="144">
        <v>4</v>
      </c>
      <c r="AE41" s="144">
        <f>14-AE34</f>
        <v>7</v>
      </c>
      <c r="AF41" s="144">
        <f>12-AF34</f>
        <v>10</v>
      </c>
      <c r="AG41" s="145">
        <f>'[1]TEMP Summary'!$T$22</f>
        <v>0</v>
      </c>
      <c r="AH41" s="142">
        <f t="shared" si="10"/>
        <v>138</v>
      </c>
      <c r="AJ41" s="257"/>
      <c r="AK41" s="258"/>
    </row>
    <row r="42" spans="1:37" x14ac:dyDescent="0.3">
      <c r="A42" s="168"/>
      <c r="B42" s="143" t="s">
        <v>72</v>
      </c>
      <c r="C42" s="144">
        <f>'[1]TEMP Summary'!$T$22</f>
        <v>0</v>
      </c>
      <c r="D42" s="144">
        <v>16</v>
      </c>
      <c r="E42" s="144">
        <f>30-E35</f>
        <v>15</v>
      </c>
      <c r="F42" s="144">
        <f>'[1]TEMP Summary'!$T$22</f>
        <v>0</v>
      </c>
      <c r="G42" s="144"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v>15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46</v>
      </c>
      <c r="AJ42" s="257"/>
      <c r="AK42" s="258"/>
    </row>
    <row r="43" spans="1:37" x14ac:dyDescent="0.3">
      <c r="A43" s="168"/>
      <c r="B43" s="143" t="s">
        <v>73</v>
      </c>
      <c r="C43" s="144">
        <f>60-C36</f>
        <v>8</v>
      </c>
      <c r="D43" s="144">
        <f>103-D36</f>
        <v>61</v>
      </c>
      <c r="E43" s="144">
        <f>82-E36</f>
        <v>47</v>
      </c>
      <c r="F43" s="144">
        <f>75-F36</f>
        <v>53</v>
      </c>
      <c r="G43" s="144">
        <f>101-G36</f>
        <v>46</v>
      </c>
      <c r="H43" s="144">
        <f>71-H36</f>
        <v>24</v>
      </c>
      <c r="I43" s="144">
        <f>119-I36</f>
        <v>49</v>
      </c>
      <c r="J43" s="144">
        <f>102-J36</f>
        <v>36</v>
      </c>
      <c r="K43" s="144">
        <f>82-K36</f>
        <v>31</v>
      </c>
      <c r="L43" s="144">
        <f>96-L36</f>
        <v>53</v>
      </c>
      <c r="M43" s="144">
        <f>124-M36</f>
        <v>68</v>
      </c>
      <c r="N43" s="144">
        <f>110-N36</f>
        <v>40</v>
      </c>
      <c r="O43" s="144">
        <f>141-O36</f>
        <v>68</v>
      </c>
      <c r="P43" s="144">
        <f>131-P36</f>
        <v>49</v>
      </c>
      <c r="Q43" s="144">
        <f>'[1]TEMP Summary'!$T$22</f>
        <v>0</v>
      </c>
      <c r="R43" s="144">
        <f>128-R36</f>
        <v>73</v>
      </c>
      <c r="S43" s="144">
        <f>138-S36</f>
        <v>67</v>
      </c>
      <c r="T43" s="144">
        <f>104-T36</f>
        <v>66</v>
      </c>
      <c r="U43" s="144">
        <f>142-U36</f>
        <v>64</v>
      </c>
      <c r="V43" s="144">
        <f>151-V36</f>
        <v>68</v>
      </c>
      <c r="W43" s="144">
        <f>123-W36</f>
        <v>46</v>
      </c>
      <c r="X43" s="144">
        <f>115-X36</f>
        <v>57</v>
      </c>
      <c r="Y43" s="144">
        <f>117-Y36</f>
        <v>67</v>
      </c>
      <c r="Z43" s="144">
        <f>142-Z36</f>
        <v>81</v>
      </c>
      <c r="AA43" s="144">
        <f>117-AA36</f>
        <v>117</v>
      </c>
      <c r="AB43" s="144">
        <f>124-AB36</f>
        <v>53</v>
      </c>
      <c r="AC43" s="144">
        <f>164-AC36</f>
        <v>64</v>
      </c>
      <c r="AD43" s="144">
        <f>128-AD36</f>
        <v>65</v>
      </c>
      <c r="AE43" s="144">
        <f>139-AE36</f>
        <v>70</v>
      </c>
      <c r="AF43" s="144">
        <f>104-AF36</f>
        <v>57</v>
      </c>
      <c r="AG43" s="145">
        <f>'[1]TEMP Summary'!$T$22</f>
        <v>0</v>
      </c>
      <c r="AH43" s="142">
        <f t="shared" si="10"/>
        <v>1648</v>
      </c>
      <c r="AJ43" s="257"/>
      <c r="AK43" s="258"/>
    </row>
    <row r="44" spans="1:37" x14ac:dyDescent="0.3">
      <c r="A44" s="168"/>
      <c r="B44" s="143" t="s">
        <v>71</v>
      </c>
      <c r="C44" s="144">
        <f>17-C37</f>
        <v>3</v>
      </c>
      <c r="D44" s="144">
        <f>9-D37</f>
        <v>6</v>
      </c>
      <c r="E44" s="144">
        <f>17-E37</f>
        <v>7</v>
      </c>
      <c r="F44" s="144">
        <f>16-F37</f>
        <v>6</v>
      </c>
      <c r="G44" s="144">
        <f>7-G37</f>
        <v>3</v>
      </c>
      <c r="H44" s="144">
        <f>8-H37</f>
        <v>4</v>
      </c>
      <c r="I44" s="144">
        <f>17-I37</f>
        <v>12</v>
      </c>
      <c r="J44" s="144">
        <f>27-J37</f>
        <v>11</v>
      </c>
      <c r="K44" s="144">
        <f>6-K37</f>
        <v>4</v>
      </c>
      <c r="L44" s="144">
        <f>23-L37</f>
        <v>7</v>
      </c>
      <c r="M44" s="144">
        <f>27-M37</f>
        <v>5</v>
      </c>
      <c r="N44" s="144">
        <f>24-N37</f>
        <v>11</v>
      </c>
      <c r="O44" s="144">
        <f>16-O37</f>
        <v>2</v>
      </c>
      <c r="P44" s="144">
        <f>19-P37</f>
        <v>3</v>
      </c>
      <c r="Q44" s="144">
        <f>'[1]TEMP Summary'!$T$22</f>
        <v>0</v>
      </c>
      <c r="R44" s="144">
        <f>17-R37</f>
        <v>16</v>
      </c>
      <c r="S44" s="144">
        <f>10-S37</f>
        <v>6</v>
      </c>
      <c r="T44" s="144">
        <f>9-T37</f>
        <v>5</v>
      </c>
      <c r="U44" s="144">
        <f>24-U37</f>
        <v>5</v>
      </c>
      <c r="V44" s="144">
        <f>18-V37</f>
        <v>5</v>
      </c>
      <c r="W44" s="144">
        <f>12-W37</f>
        <v>3</v>
      </c>
      <c r="X44" s="144">
        <f>23-X37</f>
        <v>14</v>
      </c>
      <c r="Y44" s="144">
        <v>9</v>
      </c>
      <c r="Z44" s="144">
        <f>19-Z37</f>
        <v>4</v>
      </c>
      <c r="AA44" s="144">
        <f>25-AA37</f>
        <v>25</v>
      </c>
      <c r="AB44" s="144">
        <f>10-AB37</f>
        <v>4</v>
      </c>
      <c r="AC44" s="144">
        <f>28-AC37</f>
        <v>3</v>
      </c>
      <c r="AD44" s="144">
        <f>27-AD37</f>
        <v>16</v>
      </c>
      <c r="AE44" s="144">
        <f>36-AE37</f>
        <v>4</v>
      </c>
      <c r="AF44" s="144">
        <f>20-AF37</f>
        <v>7</v>
      </c>
      <c r="AG44" s="145">
        <f>'[1]TEMP Summary'!$T$22</f>
        <v>0</v>
      </c>
      <c r="AH44" s="142">
        <f t="shared" si="10"/>
        <v>210</v>
      </c>
      <c r="AJ44" s="257"/>
      <c r="AK44" s="259"/>
    </row>
    <row r="45" spans="1:37" x14ac:dyDescent="0.3">
      <c r="A45" s="168"/>
      <c r="B45" s="444" t="s">
        <v>182</v>
      </c>
      <c r="C45" s="441">
        <f t="shared" ref="C45:AG45" si="13">SUM(C39:C44)</f>
        <v>187</v>
      </c>
      <c r="D45" s="441">
        <f t="shared" si="13"/>
        <v>476</v>
      </c>
      <c r="E45" s="441">
        <f t="shared" si="13"/>
        <v>526</v>
      </c>
      <c r="F45" s="441">
        <f t="shared" si="13"/>
        <v>291</v>
      </c>
      <c r="G45" s="441">
        <f t="shared" si="13"/>
        <v>176</v>
      </c>
      <c r="H45" s="441">
        <f t="shared" si="13"/>
        <v>120</v>
      </c>
      <c r="I45" s="441">
        <f t="shared" si="13"/>
        <v>152</v>
      </c>
      <c r="J45" s="441">
        <f t="shared" si="13"/>
        <v>144</v>
      </c>
      <c r="K45" s="441">
        <f t="shared" si="13"/>
        <v>227</v>
      </c>
      <c r="L45" s="441">
        <f t="shared" si="13"/>
        <v>197</v>
      </c>
      <c r="M45" s="441">
        <f t="shared" si="13"/>
        <v>217</v>
      </c>
      <c r="N45" s="441">
        <f t="shared" si="13"/>
        <v>114</v>
      </c>
      <c r="O45" s="441">
        <f t="shared" si="13"/>
        <v>167</v>
      </c>
      <c r="P45" s="441">
        <f t="shared" si="13"/>
        <v>138</v>
      </c>
      <c r="Q45" s="441">
        <f t="shared" si="13"/>
        <v>0</v>
      </c>
      <c r="R45" s="441">
        <f t="shared" si="13"/>
        <v>282</v>
      </c>
      <c r="S45" s="441">
        <f t="shared" si="13"/>
        <v>210</v>
      </c>
      <c r="T45" s="441">
        <f t="shared" si="13"/>
        <v>200</v>
      </c>
      <c r="U45" s="441">
        <f t="shared" si="13"/>
        <v>152</v>
      </c>
      <c r="V45" s="441">
        <f t="shared" si="13"/>
        <v>165</v>
      </c>
      <c r="W45" s="441">
        <f t="shared" si="13"/>
        <v>172</v>
      </c>
      <c r="X45" s="441">
        <f t="shared" si="13"/>
        <v>228</v>
      </c>
      <c r="Y45" s="441">
        <f t="shared" si="13"/>
        <v>312</v>
      </c>
      <c r="Z45" s="441">
        <f t="shared" si="13"/>
        <v>304</v>
      </c>
      <c r="AA45" s="441">
        <f t="shared" si="13"/>
        <v>453</v>
      </c>
      <c r="AB45" s="441">
        <f t="shared" si="13"/>
        <v>201</v>
      </c>
      <c r="AC45" s="441">
        <f t="shared" si="13"/>
        <v>198</v>
      </c>
      <c r="AD45" s="441">
        <f t="shared" si="13"/>
        <v>215</v>
      </c>
      <c r="AE45" s="441">
        <f t="shared" si="13"/>
        <v>261</v>
      </c>
      <c r="AF45" s="441">
        <f t="shared" si="13"/>
        <v>352</v>
      </c>
      <c r="AG45" s="443">
        <f t="shared" si="13"/>
        <v>0</v>
      </c>
      <c r="AH45" s="407">
        <f>SUM(C45:AG45)</f>
        <v>6837</v>
      </c>
      <c r="AJ45" s="406"/>
      <c r="AK45" s="405"/>
    </row>
    <row r="46" spans="1:37" s="170" customFormat="1" ht="15" thickBot="1" x14ac:dyDescent="0.35">
      <c r="A46" s="169"/>
      <c r="B46" s="146" t="s">
        <v>76</v>
      </c>
      <c r="C46" s="147">
        <f t="shared" ref="C46:AG46" si="14">SUM(C32:C37,C39:C44)</f>
        <v>411</v>
      </c>
      <c r="D46" s="147">
        <f t="shared" si="14"/>
        <v>989</v>
      </c>
      <c r="E46" s="147">
        <f t="shared" si="14"/>
        <v>1057</v>
      </c>
      <c r="F46" s="147">
        <f t="shared" si="14"/>
        <v>556</v>
      </c>
      <c r="G46" s="147">
        <f t="shared" si="14"/>
        <v>402</v>
      </c>
      <c r="H46" s="147">
        <f t="shared" si="14"/>
        <v>297</v>
      </c>
      <c r="I46" s="147">
        <f t="shared" si="14"/>
        <v>342</v>
      </c>
      <c r="J46" s="147">
        <f t="shared" si="14"/>
        <v>355</v>
      </c>
      <c r="K46" s="147">
        <f t="shared" si="14"/>
        <v>479</v>
      </c>
      <c r="L46" s="147">
        <f t="shared" si="14"/>
        <v>426</v>
      </c>
      <c r="M46" s="147">
        <f t="shared" si="14"/>
        <v>412</v>
      </c>
      <c r="N46" s="147">
        <f t="shared" si="14"/>
        <v>279</v>
      </c>
      <c r="O46" s="147">
        <f t="shared" si="14"/>
        <v>397</v>
      </c>
      <c r="P46" s="147">
        <f t="shared" si="14"/>
        <v>368</v>
      </c>
      <c r="Q46" s="147">
        <f t="shared" si="14"/>
        <v>292</v>
      </c>
      <c r="R46" s="147">
        <f t="shared" si="14"/>
        <v>562</v>
      </c>
      <c r="S46" s="147">
        <f t="shared" si="14"/>
        <v>483</v>
      </c>
      <c r="T46" s="147">
        <f t="shared" si="14"/>
        <v>360</v>
      </c>
      <c r="U46" s="147">
        <f t="shared" si="14"/>
        <v>363</v>
      </c>
      <c r="V46" s="147">
        <f t="shared" si="14"/>
        <v>406</v>
      </c>
      <c r="W46" s="147">
        <f t="shared" si="14"/>
        <v>421</v>
      </c>
      <c r="X46" s="147">
        <f t="shared" si="14"/>
        <v>467</v>
      </c>
      <c r="Y46" s="147">
        <f t="shared" si="14"/>
        <v>629</v>
      </c>
      <c r="Z46" s="147">
        <f t="shared" si="14"/>
        <v>590</v>
      </c>
      <c r="AA46" s="147">
        <f t="shared" si="14"/>
        <v>453</v>
      </c>
      <c r="AB46" s="147">
        <f t="shared" si="14"/>
        <v>412</v>
      </c>
      <c r="AC46" s="147">
        <f t="shared" si="14"/>
        <v>423</v>
      </c>
      <c r="AD46" s="147">
        <f t="shared" si="14"/>
        <v>446</v>
      </c>
      <c r="AE46" s="147">
        <f t="shared" si="14"/>
        <v>601</v>
      </c>
      <c r="AF46" s="147">
        <f t="shared" si="14"/>
        <v>653</v>
      </c>
      <c r="AG46" s="262">
        <f t="shared" si="14"/>
        <v>0</v>
      </c>
      <c r="AH46" s="148">
        <f>SUM(AH32:AH37,AH39:AH44)</f>
        <v>14331</v>
      </c>
      <c r="AJ46" s="260">
        <f>AH46</f>
        <v>14331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3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P28" sqref="AP28"/>
    </sheetView>
  </sheetViews>
  <sheetFormatPr defaultColWidth="9.109375" defaultRowHeight="15.6" x14ac:dyDescent="0.3"/>
  <cols>
    <col min="1" max="1" width="13.44140625" style="59" bestFit="1" customWidth="1"/>
    <col min="2" max="2" width="33.88671875" style="60" bestFit="1" customWidth="1"/>
    <col min="3" max="5" width="10" style="60" customWidth="1"/>
    <col min="6" max="6" width="10.5546875" style="60" bestFit="1" customWidth="1"/>
    <col min="7" max="32" width="10" style="60" customWidth="1"/>
    <col min="33" max="33" width="10" style="60" hidden="1" customWidth="1"/>
    <col min="34" max="34" width="12.6640625" style="61" bestFit="1" customWidth="1"/>
    <col min="35" max="35" width="3" style="62" customWidth="1"/>
    <col min="36" max="36" width="10.44140625" style="60" customWidth="1"/>
    <col min="37" max="37" width="33.88671875" style="60" customWidth="1"/>
    <col min="38" max="38" width="11.5546875" style="59" bestFit="1" customWidth="1"/>
    <col min="39" max="39" width="12.88671875" style="59" customWidth="1"/>
    <col min="40" max="40" width="20.33203125" style="59" bestFit="1" customWidth="1"/>
    <col min="41" max="16384" width="9.109375" style="59"/>
  </cols>
  <sheetData>
    <row r="1" spans="1:40" ht="16.2" thickBot="1" x14ac:dyDescent="0.35">
      <c r="A1" s="170" t="s">
        <v>209</v>
      </c>
      <c r="B1" s="378" t="str">
        <f>'Cash Flow'!C1</f>
        <v>September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40" s="60" customFormat="1" ht="16.2" thickBot="1" x14ac:dyDescent="0.35">
      <c r="A2" s="63" t="s">
        <v>66</v>
      </c>
      <c r="B2" s="64" t="s">
        <v>128</v>
      </c>
      <c r="C2" s="106">
        <f>'Cash Flow'!A8</f>
        <v>45170</v>
      </c>
      <c r="D2" s="106">
        <f>C2+1</f>
        <v>45171</v>
      </c>
      <c r="E2" s="106">
        <f>D2+1</f>
        <v>45172</v>
      </c>
      <c r="F2" s="106">
        <f t="shared" ref="F2:AG2" si="0">E2+1</f>
        <v>45173</v>
      </c>
      <c r="G2" s="106">
        <f t="shared" si="0"/>
        <v>45174</v>
      </c>
      <c r="H2" s="106">
        <f t="shared" si="0"/>
        <v>45175</v>
      </c>
      <c r="I2" s="106">
        <f t="shared" si="0"/>
        <v>45176</v>
      </c>
      <c r="J2" s="106">
        <f t="shared" si="0"/>
        <v>45177</v>
      </c>
      <c r="K2" s="106">
        <f t="shared" si="0"/>
        <v>45178</v>
      </c>
      <c r="L2" s="106">
        <f t="shared" si="0"/>
        <v>45179</v>
      </c>
      <c r="M2" s="106">
        <f t="shared" si="0"/>
        <v>45180</v>
      </c>
      <c r="N2" s="106">
        <f t="shared" si="0"/>
        <v>45181</v>
      </c>
      <c r="O2" s="106">
        <f t="shared" si="0"/>
        <v>45182</v>
      </c>
      <c r="P2" s="106">
        <f t="shared" si="0"/>
        <v>45183</v>
      </c>
      <c r="Q2" s="106">
        <f t="shared" si="0"/>
        <v>45184</v>
      </c>
      <c r="R2" s="106">
        <f t="shared" si="0"/>
        <v>45185</v>
      </c>
      <c r="S2" s="106">
        <f t="shared" si="0"/>
        <v>45186</v>
      </c>
      <c r="T2" s="106">
        <f t="shared" si="0"/>
        <v>45187</v>
      </c>
      <c r="U2" s="106">
        <f t="shared" si="0"/>
        <v>45188</v>
      </c>
      <c r="V2" s="106">
        <f t="shared" si="0"/>
        <v>45189</v>
      </c>
      <c r="W2" s="106">
        <f t="shared" si="0"/>
        <v>45190</v>
      </c>
      <c r="X2" s="106">
        <f t="shared" si="0"/>
        <v>45191</v>
      </c>
      <c r="Y2" s="106">
        <f t="shared" si="0"/>
        <v>45192</v>
      </c>
      <c r="Z2" s="106">
        <f t="shared" si="0"/>
        <v>45193</v>
      </c>
      <c r="AA2" s="106">
        <f t="shared" si="0"/>
        <v>45194</v>
      </c>
      <c r="AB2" s="106">
        <f t="shared" si="0"/>
        <v>45195</v>
      </c>
      <c r="AC2" s="106">
        <f t="shared" si="0"/>
        <v>45196</v>
      </c>
      <c r="AD2" s="106">
        <f t="shared" si="0"/>
        <v>45197</v>
      </c>
      <c r="AE2" s="106">
        <f t="shared" si="0"/>
        <v>45198</v>
      </c>
      <c r="AF2" s="106">
        <f t="shared" si="0"/>
        <v>45199</v>
      </c>
      <c r="AG2" s="106">
        <f t="shared" si="0"/>
        <v>45200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3">
      <c r="A3" s="66" t="s">
        <v>61</v>
      </c>
      <c r="B3" s="67" t="s">
        <v>62</v>
      </c>
      <c r="C3" s="68">
        <v>4.6399999999999997</v>
      </c>
      <c r="D3" s="185">
        <v>4.92</v>
      </c>
      <c r="E3" s="185"/>
      <c r="F3" s="185">
        <v>2.56</v>
      </c>
      <c r="G3" s="185">
        <v>5.39</v>
      </c>
      <c r="H3" s="185">
        <v>8.01</v>
      </c>
      <c r="I3" s="185">
        <v>26.27</v>
      </c>
      <c r="J3" s="185">
        <v>15.83</v>
      </c>
      <c r="K3" s="185">
        <v>1.04</v>
      </c>
      <c r="L3" s="185">
        <v>7.36</v>
      </c>
      <c r="M3" s="185">
        <v>22.23</v>
      </c>
      <c r="N3" s="185">
        <v>1.71</v>
      </c>
      <c r="O3" s="185">
        <v>10.35</v>
      </c>
      <c r="P3" s="185">
        <v>8.82</v>
      </c>
      <c r="Q3" s="185">
        <v>6.81</v>
      </c>
      <c r="R3" s="185">
        <v>4.49</v>
      </c>
      <c r="S3" s="185">
        <v>5.3</v>
      </c>
      <c r="T3" s="185">
        <v>7.28</v>
      </c>
      <c r="U3" s="185">
        <v>12.61</v>
      </c>
      <c r="V3" s="185">
        <v>2.79</v>
      </c>
      <c r="W3" s="185">
        <v>3.79</v>
      </c>
      <c r="X3" s="185">
        <v>18.98</v>
      </c>
      <c r="Y3" s="185">
        <v>11.18</v>
      </c>
      <c r="Z3" s="185">
        <v>12.3</v>
      </c>
      <c r="AA3" s="185">
        <v>10.77</v>
      </c>
      <c r="AB3" s="185">
        <v>14.71</v>
      </c>
      <c r="AC3" s="185">
        <v>4.99</v>
      </c>
      <c r="AD3" s="185">
        <v>12.3</v>
      </c>
      <c r="AE3" s="185">
        <v>8.41</v>
      </c>
      <c r="AF3" s="185">
        <v>12.19</v>
      </c>
      <c r="AG3" s="185"/>
      <c r="AH3" s="108">
        <f>SUM(C3:AG3)</f>
        <v>268.03000000000003</v>
      </c>
      <c r="AJ3" s="66" t="s">
        <v>61</v>
      </c>
      <c r="AK3" s="67" t="s">
        <v>62</v>
      </c>
      <c r="AL3" s="210"/>
      <c r="AM3" s="210"/>
    </row>
    <row r="4" spans="1:40" x14ac:dyDescent="0.3">
      <c r="A4" s="69" t="s">
        <v>210</v>
      </c>
      <c r="B4" s="70" t="s">
        <v>211</v>
      </c>
      <c r="C4" s="71">
        <v>49</v>
      </c>
      <c r="D4" s="72">
        <v>51.99</v>
      </c>
      <c r="E4" s="71"/>
      <c r="F4" s="71">
        <v>27</v>
      </c>
      <c r="G4" s="71">
        <v>57</v>
      </c>
      <c r="H4" s="71">
        <v>84.82</v>
      </c>
      <c r="I4" s="71">
        <v>277.42</v>
      </c>
      <c r="J4" s="71">
        <v>167.31</v>
      </c>
      <c r="K4" s="71">
        <v>11</v>
      </c>
      <c r="L4" s="71">
        <v>77.89</v>
      </c>
      <c r="M4" s="71">
        <v>235.1</v>
      </c>
      <c r="N4" s="71">
        <v>18</v>
      </c>
      <c r="O4" s="71">
        <v>109.79</v>
      </c>
      <c r="P4" s="71">
        <v>93.35</v>
      </c>
      <c r="Q4" s="71">
        <v>71.959999999999994</v>
      </c>
      <c r="R4" s="71">
        <v>47.49</v>
      </c>
      <c r="S4" s="71">
        <v>55.98</v>
      </c>
      <c r="T4" s="71">
        <v>76.98</v>
      </c>
      <c r="U4" s="71">
        <v>133.43</v>
      </c>
      <c r="V4" s="71">
        <v>29.5</v>
      </c>
      <c r="W4" s="71">
        <v>40</v>
      </c>
      <c r="X4" s="71">
        <v>200.82</v>
      </c>
      <c r="Y4" s="71">
        <v>118.4</v>
      </c>
      <c r="Z4" s="71">
        <v>130.16999999999999</v>
      </c>
      <c r="AA4" s="71">
        <v>113.91</v>
      </c>
      <c r="AB4" s="71">
        <v>155.88</v>
      </c>
      <c r="AC4" s="71">
        <v>52.92</v>
      </c>
      <c r="AD4" s="71">
        <v>129.97999999999999</v>
      </c>
      <c r="AE4" s="71">
        <v>88.92</v>
      </c>
      <c r="AF4" s="71">
        <v>128.9</v>
      </c>
      <c r="AG4" s="71"/>
      <c r="AH4" s="108">
        <f t="shared" ref="AH4:AH6" si="1">SUM(C4:AG4)</f>
        <v>2834.9100000000003</v>
      </c>
      <c r="AJ4" s="69" t="s">
        <v>210</v>
      </c>
      <c r="AK4" s="70" t="s">
        <v>211</v>
      </c>
      <c r="AL4" s="210"/>
      <c r="AM4" s="210"/>
    </row>
    <row r="5" spans="1:40" x14ac:dyDescent="0.3">
      <c r="A5" s="66" t="s">
        <v>210</v>
      </c>
      <c r="B5" s="67" t="s">
        <v>235</v>
      </c>
      <c r="C5" s="68"/>
      <c r="D5" s="185"/>
      <c r="E5" s="68"/>
      <c r="F5" s="68"/>
      <c r="G5" s="68">
        <v>1</v>
      </c>
      <c r="H5" s="68">
        <v>35</v>
      </c>
      <c r="I5" s="68"/>
      <c r="J5" s="68">
        <v>60</v>
      </c>
      <c r="K5" s="68">
        <v>40</v>
      </c>
      <c r="L5" s="68"/>
      <c r="M5" s="68"/>
      <c r="N5" s="68">
        <v>20</v>
      </c>
      <c r="O5" s="68">
        <v>160</v>
      </c>
      <c r="P5" s="68">
        <v>75</v>
      </c>
      <c r="Q5" s="68">
        <v>1</v>
      </c>
      <c r="R5" s="68"/>
      <c r="S5" s="68"/>
      <c r="T5" s="68"/>
      <c r="U5" s="68">
        <v>52</v>
      </c>
      <c r="V5" s="68">
        <v>3</v>
      </c>
      <c r="W5" s="68">
        <v>26</v>
      </c>
      <c r="X5" s="68">
        <v>30</v>
      </c>
      <c r="Y5" s="68">
        <v>65</v>
      </c>
      <c r="Z5" s="68">
        <v>27</v>
      </c>
      <c r="AA5" s="68">
        <v>25</v>
      </c>
      <c r="AB5" s="68">
        <v>50</v>
      </c>
      <c r="AC5" s="68"/>
      <c r="AD5" s="68">
        <v>26</v>
      </c>
      <c r="AE5" s="68">
        <v>1</v>
      </c>
      <c r="AF5" s="68">
        <v>1</v>
      </c>
      <c r="AG5" s="68"/>
      <c r="AH5" s="108">
        <f t="shared" si="1"/>
        <v>698</v>
      </c>
      <c r="AJ5" s="69" t="s">
        <v>210</v>
      </c>
      <c r="AK5" s="67" t="s">
        <v>235</v>
      </c>
      <c r="AL5" s="210"/>
      <c r="AM5" s="210"/>
    </row>
    <row r="6" spans="1:40" ht="16.2" thickBot="1" x14ac:dyDescent="0.35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>
        <v>25.25</v>
      </c>
      <c r="V6" s="68"/>
      <c r="W6" s="68"/>
      <c r="X6" s="68"/>
      <c r="Y6" s="68">
        <v>50.5</v>
      </c>
      <c r="Z6" s="68"/>
      <c r="AA6" s="68"/>
      <c r="AB6" s="68"/>
      <c r="AC6" s="68"/>
      <c r="AD6" s="68"/>
      <c r="AE6" s="68"/>
      <c r="AF6" s="68"/>
      <c r="AG6" s="68"/>
      <c r="AH6" s="108">
        <f t="shared" si="1"/>
        <v>75.75</v>
      </c>
      <c r="AJ6" s="66" t="s">
        <v>210</v>
      </c>
      <c r="AK6" s="67" t="s">
        <v>233</v>
      </c>
      <c r="AL6" s="210"/>
      <c r="AM6" s="210"/>
    </row>
    <row r="7" spans="1:40" s="60" customFormat="1" ht="14.4" thickBot="1" x14ac:dyDescent="0.35">
      <c r="A7" s="199"/>
      <c r="B7" s="84" t="s">
        <v>64</v>
      </c>
      <c r="C7" s="107">
        <f t="shared" ref="C7:AG7" si="2">SUM(C3:C6)</f>
        <v>53.64</v>
      </c>
      <c r="D7" s="107">
        <f t="shared" si="2"/>
        <v>56.910000000000004</v>
      </c>
      <c r="E7" s="107">
        <f t="shared" si="2"/>
        <v>0</v>
      </c>
      <c r="F7" s="107">
        <f t="shared" si="2"/>
        <v>29.56</v>
      </c>
      <c r="G7" s="107">
        <f t="shared" si="2"/>
        <v>63.39</v>
      </c>
      <c r="H7" s="107">
        <f t="shared" si="2"/>
        <v>127.83</v>
      </c>
      <c r="I7" s="107">
        <f t="shared" si="2"/>
        <v>303.69</v>
      </c>
      <c r="J7" s="107">
        <f t="shared" si="2"/>
        <v>243.14000000000001</v>
      </c>
      <c r="K7" s="107">
        <f t="shared" si="2"/>
        <v>52.04</v>
      </c>
      <c r="L7" s="107">
        <f t="shared" si="2"/>
        <v>85.25</v>
      </c>
      <c r="M7" s="107">
        <f t="shared" si="2"/>
        <v>257.33</v>
      </c>
      <c r="N7" s="107">
        <f t="shared" si="2"/>
        <v>39.71</v>
      </c>
      <c r="O7" s="107">
        <f t="shared" si="2"/>
        <v>280.14</v>
      </c>
      <c r="P7" s="107">
        <f t="shared" si="2"/>
        <v>177.17</v>
      </c>
      <c r="Q7" s="107">
        <f t="shared" si="2"/>
        <v>79.77</v>
      </c>
      <c r="R7" s="107">
        <f t="shared" si="2"/>
        <v>51.980000000000004</v>
      </c>
      <c r="S7" s="107">
        <f t="shared" si="2"/>
        <v>61.279999999999994</v>
      </c>
      <c r="T7" s="107">
        <f t="shared" si="2"/>
        <v>84.26</v>
      </c>
      <c r="U7" s="107">
        <f t="shared" si="2"/>
        <v>223.29000000000002</v>
      </c>
      <c r="V7" s="107">
        <f t="shared" si="2"/>
        <v>35.29</v>
      </c>
      <c r="W7" s="107">
        <f t="shared" si="2"/>
        <v>69.789999999999992</v>
      </c>
      <c r="X7" s="107">
        <f t="shared" si="2"/>
        <v>249.79999999999998</v>
      </c>
      <c r="Y7" s="107">
        <f t="shared" si="2"/>
        <v>245.08</v>
      </c>
      <c r="Z7" s="107">
        <f t="shared" si="2"/>
        <v>169.47</v>
      </c>
      <c r="AA7" s="107">
        <f t="shared" si="2"/>
        <v>149.68</v>
      </c>
      <c r="AB7" s="107">
        <f t="shared" si="2"/>
        <v>220.59</v>
      </c>
      <c r="AC7" s="107">
        <f t="shared" si="2"/>
        <v>57.910000000000004</v>
      </c>
      <c r="AD7" s="107">
        <f t="shared" si="2"/>
        <v>168.28</v>
      </c>
      <c r="AE7" s="107">
        <f t="shared" si="2"/>
        <v>98.33</v>
      </c>
      <c r="AF7" s="107">
        <f t="shared" si="2"/>
        <v>142.09</v>
      </c>
      <c r="AG7" s="107">
        <f t="shared" si="2"/>
        <v>0</v>
      </c>
      <c r="AH7" s="109">
        <f>SUM(C3:AG6)</f>
        <v>3876.6900000000005</v>
      </c>
      <c r="AI7" s="85"/>
      <c r="AJ7" s="275"/>
      <c r="AK7" s="276" t="s">
        <v>64</v>
      </c>
    </row>
    <row r="8" spans="1:40" ht="16.2" thickBot="1" x14ac:dyDescent="0.35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3">
      <c r="A9" s="89" t="s">
        <v>60</v>
      </c>
      <c r="B9" s="84" t="s">
        <v>54</v>
      </c>
      <c r="C9" s="392">
        <v>11.5</v>
      </c>
      <c r="D9" s="392">
        <v>6.57</v>
      </c>
      <c r="E9" s="392"/>
      <c r="F9" s="392"/>
      <c r="G9" s="392">
        <v>17.420000000000002</v>
      </c>
      <c r="H9" s="392"/>
      <c r="I9" s="392">
        <v>4.93</v>
      </c>
      <c r="J9" s="392">
        <v>121.84</v>
      </c>
      <c r="K9" s="392">
        <v>49.85</v>
      </c>
      <c r="L9" s="392">
        <v>32.840000000000003</v>
      </c>
      <c r="M9" s="392">
        <v>239.81</v>
      </c>
      <c r="N9" s="392">
        <v>2.19</v>
      </c>
      <c r="O9" s="392">
        <v>27.33</v>
      </c>
      <c r="P9" s="392">
        <v>21.89</v>
      </c>
      <c r="Q9" s="392">
        <v>14.23</v>
      </c>
      <c r="R9" s="392">
        <v>3.27</v>
      </c>
      <c r="S9" s="392">
        <v>21.34</v>
      </c>
      <c r="T9" s="392">
        <v>43.77</v>
      </c>
      <c r="U9" s="392">
        <v>95.22</v>
      </c>
      <c r="V9" s="392">
        <v>6.38</v>
      </c>
      <c r="W9" s="392">
        <v>1</v>
      </c>
      <c r="X9" s="392">
        <v>26.27</v>
      </c>
      <c r="Y9" s="392">
        <v>52.69</v>
      </c>
      <c r="Z9" s="392">
        <v>17.27</v>
      </c>
      <c r="AA9" s="392">
        <v>32.770000000000003</v>
      </c>
      <c r="AB9" s="392">
        <v>13.1</v>
      </c>
      <c r="AC9" s="392">
        <v>27.36</v>
      </c>
      <c r="AD9" s="392">
        <v>53.53</v>
      </c>
      <c r="AE9" s="393">
        <v>17.489999999999998</v>
      </c>
      <c r="AF9" s="393">
        <v>1</v>
      </c>
      <c r="AG9" s="393"/>
      <c r="AH9" s="110">
        <f>SUM(C9:AG9)</f>
        <v>962.8599999999999</v>
      </c>
      <c r="AJ9" s="137" t="s">
        <v>60</v>
      </c>
      <c r="AK9" s="138" t="s">
        <v>212</v>
      </c>
      <c r="AL9" s="386">
        <f>SUM(C9:AD9)</f>
        <v>944.36999999999989</v>
      </c>
      <c r="AM9" s="387">
        <f>SUM(AE9:AG9)</f>
        <v>18.489999999999998</v>
      </c>
    </row>
    <row r="10" spans="1:40" ht="16.2" thickBot="1" x14ac:dyDescent="0.35">
      <c r="A10" s="90" t="s">
        <v>60</v>
      </c>
      <c r="B10" s="91" t="s">
        <v>55</v>
      </c>
      <c r="C10" s="485">
        <v>1.32</v>
      </c>
      <c r="D10" s="485">
        <v>1.56</v>
      </c>
      <c r="E10" s="389"/>
      <c r="F10" s="485">
        <v>0.91</v>
      </c>
      <c r="G10" s="485">
        <v>1.43</v>
      </c>
      <c r="H10" s="485">
        <v>85.55</v>
      </c>
      <c r="I10" s="485">
        <v>298.76</v>
      </c>
      <c r="J10" s="485">
        <v>121.3</v>
      </c>
      <c r="K10" s="485">
        <v>2.19</v>
      </c>
      <c r="L10" s="485">
        <v>52.41</v>
      </c>
      <c r="M10" s="485">
        <v>17.52</v>
      </c>
      <c r="N10" s="485">
        <v>37.520000000000003</v>
      </c>
      <c r="O10" s="485">
        <v>252.81</v>
      </c>
      <c r="P10" s="485">
        <v>155.28</v>
      </c>
      <c r="Q10" s="485">
        <v>65.540000000000006</v>
      </c>
      <c r="R10" s="485">
        <v>48.71</v>
      </c>
      <c r="S10" s="485">
        <v>39.94</v>
      </c>
      <c r="T10" s="485">
        <v>40.49</v>
      </c>
      <c r="U10" s="485">
        <v>128.07</v>
      </c>
      <c r="V10" s="485">
        <v>28.91</v>
      </c>
      <c r="W10" s="485">
        <v>68.790000000000006</v>
      </c>
      <c r="X10" s="485">
        <v>223.53</v>
      </c>
      <c r="Y10" s="485">
        <v>192.39</v>
      </c>
      <c r="Z10" s="485">
        <v>152.19999999999999</v>
      </c>
      <c r="AA10" s="485">
        <v>116.91</v>
      </c>
      <c r="AB10" s="494">
        <v>207.49</v>
      </c>
      <c r="AC10" s="494">
        <v>30.55</v>
      </c>
      <c r="AD10" s="494">
        <v>114.75</v>
      </c>
      <c r="AE10" s="494">
        <v>80.84</v>
      </c>
      <c r="AF10" s="494">
        <v>141.09</v>
      </c>
      <c r="AG10" s="391"/>
      <c r="AH10" s="111">
        <f t="shared" ref="AH10" si="3">SUM(C10:AG10)</f>
        <v>2708.76</v>
      </c>
      <c r="AJ10" s="129" t="s">
        <v>60</v>
      </c>
      <c r="AK10" s="130" t="s">
        <v>213</v>
      </c>
      <c r="AL10" s="290">
        <f>SUM(C10:AA10)-AL15</f>
        <v>2061.1</v>
      </c>
      <c r="AM10" s="291">
        <f>SUM(AB10:AG10)-AM15</f>
        <v>556.80000000000007</v>
      </c>
    </row>
    <row r="11" spans="1:40" ht="16.2" thickBot="1" x14ac:dyDescent="0.35">
      <c r="A11" s="202"/>
      <c r="B11" s="193" t="s">
        <v>65</v>
      </c>
      <c r="C11" s="107">
        <f t="shared" ref="C11:AG11" si="4">SUM(C9:C10)</f>
        <v>12.82</v>
      </c>
      <c r="D11" s="107">
        <f t="shared" si="4"/>
        <v>8.1300000000000008</v>
      </c>
      <c r="E11" s="107">
        <f t="shared" si="4"/>
        <v>0</v>
      </c>
      <c r="F11" s="107">
        <f t="shared" si="4"/>
        <v>0.91</v>
      </c>
      <c r="G11" s="107">
        <f t="shared" si="4"/>
        <v>18.850000000000001</v>
      </c>
      <c r="H11" s="107">
        <f t="shared" si="4"/>
        <v>85.55</v>
      </c>
      <c r="I11" s="107">
        <f t="shared" si="4"/>
        <v>303.69</v>
      </c>
      <c r="J11" s="107">
        <f t="shared" si="4"/>
        <v>243.14</v>
      </c>
      <c r="K11" s="107">
        <f t="shared" si="4"/>
        <v>52.04</v>
      </c>
      <c r="L11" s="107">
        <f t="shared" si="4"/>
        <v>85.25</v>
      </c>
      <c r="M11" s="107">
        <f t="shared" si="4"/>
        <v>257.33</v>
      </c>
      <c r="N11" s="107">
        <f t="shared" si="4"/>
        <v>39.71</v>
      </c>
      <c r="O11" s="107">
        <f t="shared" si="4"/>
        <v>280.14</v>
      </c>
      <c r="P11" s="107">
        <f t="shared" si="4"/>
        <v>177.17000000000002</v>
      </c>
      <c r="Q11" s="107">
        <f t="shared" si="4"/>
        <v>79.77000000000001</v>
      </c>
      <c r="R11" s="107">
        <f t="shared" si="4"/>
        <v>51.980000000000004</v>
      </c>
      <c r="S11" s="107">
        <f t="shared" si="4"/>
        <v>61.28</v>
      </c>
      <c r="T11" s="107">
        <f t="shared" si="4"/>
        <v>84.26</v>
      </c>
      <c r="U11" s="107">
        <f t="shared" si="4"/>
        <v>223.29</v>
      </c>
      <c r="V11" s="107">
        <f t="shared" si="4"/>
        <v>35.29</v>
      </c>
      <c r="W11" s="107">
        <f t="shared" si="4"/>
        <v>69.790000000000006</v>
      </c>
      <c r="X11" s="107">
        <f t="shared" si="4"/>
        <v>249.8</v>
      </c>
      <c r="Y11" s="107">
        <f t="shared" si="4"/>
        <v>245.07999999999998</v>
      </c>
      <c r="Z11" s="107">
        <f t="shared" si="4"/>
        <v>169.47</v>
      </c>
      <c r="AA11" s="107">
        <f t="shared" si="4"/>
        <v>149.68</v>
      </c>
      <c r="AB11" s="107">
        <f t="shared" si="4"/>
        <v>220.59</v>
      </c>
      <c r="AC11" s="107">
        <f t="shared" si="4"/>
        <v>57.91</v>
      </c>
      <c r="AD11" s="107">
        <f t="shared" si="4"/>
        <v>168.28</v>
      </c>
      <c r="AE11" s="107">
        <f t="shared" si="4"/>
        <v>98.33</v>
      </c>
      <c r="AF11" s="107">
        <f t="shared" si="4"/>
        <v>142.09</v>
      </c>
      <c r="AG11" s="107">
        <f t="shared" si="4"/>
        <v>0</v>
      </c>
      <c r="AH11" s="110">
        <f>SUM(C11:AG11)</f>
        <v>3671.62</v>
      </c>
      <c r="AI11" s="59"/>
      <c r="AJ11" s="506" t="s">
        <v>76</v>
      </c>
      <c r="AK11" s="507"/>
      <c r="AL11" s="508">
        <f>SUM(AL9:AM10)</f>
        <v>3580.76</v>
      </c>
      <c r="AM11" s="509"/>
      <c r="AN11" s="273">
        <f>AL11-(AH11+AL13-AL15-AM15)</f>
        <v>-205.06999999999971</v>
      </c>
    </row>
    <row r="12" spans="1:40" ht="16.2" thickBot="1" x14ac:dyDescent="0.35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2" thickBot="1" x14ac:dyDescent="0.35">
      <c r="A13" s="275" t="s">
        <v>214</v>
      </c>
      <c r="B13" s="101" t="s">
        <v>33</v>
      </c>
      <c r="C13" s="114">
        <f t="shared" ref="C13:AG13" si="5">SUM(C3:C6)-SUM(C9:C10)</f>
        <v>40.82</v>
      </c>
      <c r="D13" s="114">
        <f t="shared" si="5"/>
        <v>48.78</v>
      </c>
      <c r="E13" s="114">
        <f t="shared" si="5"/>
        <v>0</v>
      </c>
      <c r="F13" s="114">
        <f t="shared" si="5"/>
        <v>28.65</v>
      </c>
      <c r="G13" s="114">
        <f t="shared" si="5"/>
        <v>44.54</v>
      </c>
      <c r="H13" s="114">
        <f t="shared" si="5"/>
        <v>42.28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205.07</v>
      </c>
      <c r="AI13" s="62"/>
      <c r="AJ13" s="467" t="s">
        <v>214</v>
      </c>
      <c r="AK13" s="212" t="s">
        <v>215</v>
      </c>
      <c r="AL13" s="271">
        <f>AH13</f>
        <v>205.07</v>
      </c>
      <c r="AM13" s="272"/>
      <c r="AN13" s="274" t="s">
        <v>126</v>
      </c>
    </row>
    <row r="14" spans="1:40" s="102" customFormat="1" ht="16.2" thickBot="1" x14ac:dyDescent="0.3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8"/>
      <c r="AK14" s="225"/>
      <c r="AL14" s="99"/>
      <c r="AM14" s="478">
        <f>AL11+AL13+AM13+AL15+AM15</f>
        <v>3876.6900000000005</v>
      </c>
      <c r="AN14" s="477">
        <f>AM14-AH7</f>
        <v>0</v>
      </c>
    </row>
    <row r="15" spans="1:40" s="99" customFormat="1" ht="16.2" thickBot="1" x14ac:dyDescent="0.35">
      <c r="A15" s="467" t="s">
        <v>216</v>
      </c>
      <c r="B15" s="101" t="s">
        <v>195</v>
      </c>
      <c r="C15" s="490">
        <v>1.32</v>
      </c>
      <c r="D15" s="490">
        <v>1.56</v>
      </c>
      <c r="E15" s="491"/>
      <c r="F15" s="490">
        <v>0.91</v>
      </c>
      <c r="G15" s="490">
        <v>1.43</v>
      </c>
      <c r="H15" s="490">
        <v>3.99</v>
      </c>
      <c r="I15" s="490">
        <v>9.31</v>
      </c>
      <c r="J15" s="490">
        <v>3.79</v>
      </c>
      <c r="K15" s="490">
        <v>7.0000000000000007E-2</v>
      </c>
      <c r="L15" s="490">
        <v>1.64</v>
      </c>
      <c r="M15" s="490">
        <v>0.54</v>
      </c>
      <c r="N15" s="490">
        <v>1.17</v>
      </c>
      <c r="O15" s="490">
        <v>7.89</v>
      </c>
      <c r="P15" s="490">
        <v>4.84</v>
      </c>
      <c r="Q15" s="490">
        <v>2.04</v>
      </c>
      <c r="R15" s="490">
        <v>1.52</v>
      </c>
      <c r="S15" s="490">
        <v>1.25</v>
      </c>
      <c r="T15" s="490">
        <v>1.27</v>
      </c>
      <c r="U15" s="490">
        <v>3.99</v>
      </c>
      <c r="V15" s="490">
        <v>0.9</v>
      </c>
      <c r="W15" s="490">
        <v>2.14</v>
      </c>
      <c r="X15" s="490">
        <v>6.98</v>
      </c>
      <c r="Y15" s="490">
        <v>6</v>
      </c>
      <c r="Z15" s="490">
        <v>4.74</v>
      </c>
      <c r="AA15" s="490">
        <v>3.65</v>
      </c>
      <c r="AB15" s="495">
        <v>6.47</v>
      </c>
      <c r="AC15" s="495">
        <v>0.96</v>
      </c>
      <c r="AD15" s="495">
        <v>3.58</v>
      </c>
      <c r="AE15" s="495">
        <v>2.52</v>
      </c>
      <c r="AF15" s="495">
        <v>4.3899999999999997</v>
      </c>
      <c r="AG15" s="483"/>
      <c r="AH15" s="469">
        <f t="shared" ref="AH15" si="6">SUM(C15:AG15)</f>
        <v>90.86</v>
      </c>
      <c r="AI15" s="62"/>
      <c r="AJ15" s="467" t="s">
        <v>216</v>
      </c>
      <c r="AK15" s="212" t="s">
        <v>197</v>
      </c>
      <c r="AL15" s="271">
        <f>SUM(C15:AA15)</f>
        <v>72.940000000000012</v>
      </c>
      <c r="AM15" s="272">
        <f>SUM(AB15:AG15)</f>
        <v>17.919999999999998</v>
      </c>
      <c r="AN15" s="274"/>
    </row>
    <row r="16" spans="1:40" s="102" customFormat="1" x14ac:dyDescent="0.3">
      <c r="A16" s="224"/>
      <c r="B16" s="225" t="s">
        <v>232</v>
      </c>
      <c r="C16" s="482">
        <f>C10-C15</f>
        <v>0</v>
      </c>
      <c r="D16" s="482">
        <f t="shared" ref="D16:AG16" si="7">D10-D15</f>
        <v>0</v>
      </c>
      <c r="E16" s="482">
        <f t="shared" si="7"/>
        <v>0</v>
      </c>
      <c r="F16" s="482">
        <f t="shared" si="7"/>
        <v>0</v>
      </c>
      <c r="G16" s="482">
        <f t="shared" si="7"/>
        <v>0</v>
      </c>
      <c r="H16" s="482">
        <f t="shared" si="7"/>
        <v>81.56</v>
      </c>
      <c r="I16" s="482">
        <f t="shared" si="7"/>
        <v>289.45</v>
      </c>
      <c r="J16" s="482">
        <f t="shared" si="7"/>
        <v>117.50999999999999</v>
      </c>
      <c r="K16" s="482">
        <f t="shared" si="7"/>
        <v>2.12</v>
      </c>
      <c r="L16" s="482">
        <f t="shared" si="7"/>
        <v>50.769999999999996</v>
      </c>
      <c r="M16" s="482">
        <f t="shared" si="7"/>
        <v>16.98</v>
      </c>
      <c r="N16" s="482">
        <f t="shared" si="7"/>
        <v>36.35</v>
      </c>
      <c r="O16" s="482">
        <f t="shared" si="7"/>
        <v>244.92000000000002</v>
      </c>
      <c r="P16" s="482">
        <f t="shared" si="7"/>
        <v>150.44</v>
      </c>
      <c r="Q16" s="482">
        <f t="shared" si="7"/>
        <v>63.500000000000007</v>
      </c>
      <c r="R16" s="482">
        <f t="shared" si="7"/>
        <v>47.19</v>
      </c>
      <c r="S16" s="482">
        <f t="shared" si="7"/>
        <v>38.69</v>
      </c>
      <c r="T16" s="482">
        <f t="shared" si="7"/>
        <v>39.22</v>
      </c>
      <c r="U16" s="482">
        <f t="shared" si="7"/>
        <v>124.08</v>
      </c>
      <c r="V16" s="482">
        <f t="shared" si="7"/>
        <v>28.01</v>
      </c>
      <c r="W16" s="482">
        <f t="shared" si="7"/>
        <v>66.650000000000006</v>
      </c>
      <c r="X16" s="482">
        <f t="shared" si="7"/>
        <v>216.55</v>
      </c>
      <c r="Y16" s="482">
        <f t="shared" si="7"/>
        <v>186.39</v>
      </c>
      <c r="Z16" s="482">
        <f t="shared" si="7"/>
        <v>147.45999999999998</v>
      </c>
      <c r="AA16" s="482">
        <f t="shared" si="7"/>
        <v>113.25999999999999</v>
      </c>
      <c r="AB16" s="482">
        <f t="shared" si="7"/>
        <v>201.02</v>
      </c>
      <c r="AC16" s="482">
        <f t="shared" si="7"/>
        <v>29.59</v>
      </c>
      <c r="AD16" s="482">
        <f t="shared" si="7"/>
        <v>111.17</v>
      </c>
      <c r="AE16" s="482">
        <f t="shared" si="7"/>
        <v>78.320000000000007</v>
      </c>
      <c r="AF16" s="482">
        <f t="shared" si="7"/>
        <v>136.70000000000002</v>
      </c>
      <c r="AG16" s="482">
        <f t="shared" si="7"/>
        <v>0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topLeftCell="A36" workbookViewId="0">
      <selection activeCell="F40" sqref="F40"/>
    </sheetView>
  </sheetViews>
  <sheetFormatPr defaultColWidth="9.109375" defaultRowHeight="14.4" x14ac:dyDescent="0.3"/>
  <cols>
    <col min="1" max="1" width="10.44140625" style="59" bestFit="1" customWidth="1"/>
    <col min="2" max="2" width="35.109375" style="59" customWidth="1"/>
    <col min="3" max="3" width="17.88671875" style="156" customWidth="1"/>
    <col min="4" max="4" width="11" style="59" customWidth="1"/>
    <col min="5" max="5" width="12.33203125" style="59" bestFit="1" customWidth="1"/>
    <col min="6" max="6" width="16" style="59" customWidth="1"/>
    <col min="7" max="16384" width="9.109375" style="59"/>
  </cols>
  <sheetData>
    <row r="1" spans="1:6" s="181" customFormat="1" ht="13.5" customHeight="1" x14ac:dyDescent="0.3">
      <c r="A1" s="235" t="s">
        <v>114</v>
      </c>
      <c r="B1" s="179" t="str">
        <f>CONCATENATE('Cash Flow'!C1, "  ",'Cash Flow'!D1)</f>
        <v>September  2023</v>
      </c>
      <c r="C1" s="180"/>
    </row>
    <row r="2" spans="1:6" s="181" customFormat="1" ht="5.0999999999999996" customHeight="1" thickBot="1" x14ac:dyDescent="0.35">
      <c r="A2" s="235"/>
      <c r="B2" s="179"/>
      <c r="C2" s="180"/>
    </row>
    <row r="3" spans="1:6" s="181" customFormat="1" ht="14.1" customHeight="1" thickBot="1" x14ac:dyDescent="0.35">
      <c r="A3" s="524" t="s">
        <v>181</v>
      </c>
      <c r="B3" s="525"/>
      <c r="C3" s="526"/>
    </row>
    <row r="4" spans="1:6" s="181" customFormat="1" ht="24" customHeight="1" x14ac:dyDescent="0.3">
      <c r="A4" s="89" t="s">
        <v>30</v>
      </c>
      <c r="B4" s="84" t="s">
        <v>226</v>
      </c>
      <c r="C4" s="186">
        <f>Pool!AH4</f>
        <v>241766</v>
      </c>
      <c r="D4" s="530"/>
      <c r="E4" s="531"/>
      <c r="F4" s="531"/>
    </row>
    <row r="5" spans="1:6" ht="14.1" customHeight="1" x14ac:dyDescent="0.3">
      <c r="A5" s="90" t="s">
        <v>173</v>
      </c>
      <c r="B5" s="91" t="s">
        <v>63</v>
      </c>
      <c r="C5" s="187">
        <f>Pool!AH9</f>
        <v>2822</v>
      </c>
      <c r="D5" s="529"/>
      <c r="E5" s="523"/>
      <c r="F5" s="523"/>
    </row>
    <row r="6" spans="1:6" ht="14.1" customHeight="1" x14ac:dyDescent="0.3">
      <c r="A6" s="90" t="s">
        <v>152</v>
      </c>
      <c r="B6" s="91" t="s">
        <v>231</v>
      </c>
      <c r="C6" s="187">
        <f>Pool!AH6+Pool!AH7</f>
        <v>32874</v>
      </c>
      <c r="D6" s="532"/>
      <c r="E6" s="533"/>
      <c r="F6" s="533"/>
    </row>
    <row r="7" spans="1:6" ht="14.1" customHeight="1" x14ac:dyDescent="0.3">
      <c r="A7" s="90" t="s">
        <v>157</v>
      </c>
      <c r="B7" s="91" t="s">
        <v>158</v>
      </c>
      <c r="C7" s="187">
        <f>Pool!AH8</f>
        <v>150</v>
      </c>
      <c r="D7" s="529"/>
      <c r="E7" s="523"/>
      <c r="F7" s="523"/>
    </row>
    <row r="8" spans="1:6" ht="14.1" customHeight="1" x14ac:dyDescent="0.3">
      <c r="A8" s="90" t="s">
        <v>159</v>
      </c>
      <c r="B8" s="91" t="s">
        <v>168</v>
      </c>
      <c r="C8" s="187">
        <f>Pool!AH10</f>
        <v>0</v>
      </c>
      <c r="D8" s="529"/>
      <c r="E8" s="523"/>
      <c r="F8" s="523"/>
    </row>
    <row r="9" spans="1:6" ht="14.1" customHeight="1" x14ac:dyDescent="0.3">
      <c r="A9" s="90" t="s">
        <v>34</v>
      </c>
      <c r="B9" s="91" t="s">
        <v>35</v>
      </c>
      <c r="C9" s="187">
        <f>Pool!AH14</f>
        <v>2523</v>
      </c>
      <c r="D9" s="529"/>
      <c r="E9" s="523"/>
      <c r="F9" s="523"/>
    </row>
    <row r="10" spans="1:6" ht="14.1" customHeight="1" x14ac:dyDescent="0.3">
      <c r="A10" s="90" t="s">
        <v>36</v>
      </c>
      <c r="B10" s="91" t="s">
        <v>37</v>
      </c>
      <c r="C10" s="187">
        <f>Pool!AH15+Pool!AH17</f>
        <v>12558.8</v>
      </c>
      <c r="D10" s="529"/>
      <c r="E10" s="523"/>
      <c r="F10" s="523"/>
    </row>
    <row r="11" spans="1:6" ht="14.1" customHeight="1" x14ac:dyDescent="0.3">
      <c r="A11" s="90" t="s">
        <v>194</v>
      </c>
      <c r="B11" s="91" t="s">
        <v>111</v>
      </c>
      <c r="C11" s="187">
        <f>Pool!AH16</f>
        <v>0</v>
      </c>
      <c r="D11" s="529"/>
      <c r="E11" s="523"/>
      <c r="F11" s="523"/>
    </row>
    <row r="12" spans="1:6" ht="14.1" customHeight="1" x14ac:dyDescent="0.3">
      <c r="A12" s="90" t="s">
        <v>77</v>
      </c>
      <c r="B12" s="91" t="s">
        <v>193</v>
      </c>
      <c r="C12" s="187">
        <f>Pool!AH18</f>
        <v>3147</v>
      </c>
      <c r="D12" s="529"/>
      <c r="E12" s="523"/>
      <c r="F12" s="523"/>
    </row>
    <row r="13" spans="1:6" ht="14.1" hidden="1" customHeight="1" x14ac:dyDescent="0.3">
      <c r="A13" s="90" t="s">
        <v>38</v>
      </c>
      <c r="B13" s="91" t="s">
        <v>39</v>
      </c>
      <c r="C13" s="187">
        <f>Pool!AH19</f>
        <v>0</v>
      </c>
      <c r="D13" s="529"/>
      <c r="E13" s="523"/>
      <c r="F13" s="523"/>
    </row>
    <row r="14" spans="1:6" ht="14.1" customHeight="1" x14ac:dyDescent="0.3">
      <c r="A14" s="90" t="s">
        <v>40</v>
      </c>
      <c r="B14" s="91" t="s">
        <v>228</v>
      </c>
      <c r="C14" s="187">
        <f>Pool!AH20</f>
        <v>180</v>
      </c>
      <c r="D14" s="529"/>
      <c r="E14" s="523"/>
      <c r="F14" s="523"/>
    </row>
    <row r="15" spans="1:6" ht="14.1" customHeight="1" thickBot="1" x14ac:dyDescent="0.35">
      <c r="A15" s="81" t="s">
        <v>161</v>
      </c>
      <c r="B15" s="94" t="s">
        <v>162</v>
      </c>
      <c r="C15" s="188">
        <f>Pool!AH21</f>
        <v>150</v>
      </c>
      <c r="D15" s="529"/>
      <c r="E15" s="523"/>
      <c r="F15" s="523"/>
    </row>
    <row r="16" spans="1:6" ht="14.1" hidden="1" customHeight="1" x14ac:dyDescent="0.3">
      <c r="A16" s="470" t="s">
        <v>42</v>
      </c>
      <c r="B16" s="471" t="s">
        <v>43</v>
      </c>
      <c r="C16" s="472">
        <f>Pool!AH22</f>
        <v>0</v>
      </c>
      <c r="D16" s="529"/>
      <c r="E16" s="523"/>
      <c r="F16" s="523"/>
    </row>
    <row r="17" spans="1:7" ht="14.1" hidden="1" customHeight="1" x14ac:dyDescent="0.3">
      <c r="A17" s="90" t="s">
        <v>44</v>
      </c>
      <c r="B17" s="91" t="s">
        <v>45</v>
      </c>
      <c r="C17" s="187">
        <f>Pool!AH23</f>
        <v>0</v>
      </c>
      <c r="D17" s="529"/>
      <c r="E17" s="523"/>
      <c r="F17" s="523"/>
    </row>
    <row r="18" spans="1:7" ht="14.1" hidden="1" customHeight="1" x14ac:dyDescent="0.3">
      <c r="A18" s="90" t="s">
        <v>46</v>
      </c>
      <c r="B18" s="91" t="s">
        <v>47</v>
      </c>
      <c r="C18" s="187">
        <f>Pool!AH24</f>
        <v>0</v>
      </c>
      <c r="D18" s="529"/>
      <c r="E18" s="523"/>
      <c r="F18" s="523"/>
    </row>
    <row r="19" spans="1:7" ht="14.1" hidden="1" customHeight="1" x14ac:dyDescent="0.3">
      <c r="A19" s="90" t="s">
        <v>48</v>
      </c>
      <c r="B19" s="91" t="s">
        <v>49</v>
      </c>
      <c r="C19" s="187">
        <f>Pool!AH25</f>
        <v>0</v>
      </c>
      <c r="D19" s="529"/>
      <c r="E19" s="523"/>
      <c r="F19" s="523"/>
    </row>
    <row r="20" spans="1:7" ht="14.1" hidden="1" customHeight="1" x14ac:dyDescent="0.3">
      <c r="A20" s="90" t="s">
        <v>50</v>
      </c>
      <c r="B20" s="91" t="s">
        <v>51</v>
      </c>
      <c r="C20" s="187">
        <f>Pool!AH26</f>
        <v>0</v>
      </c>
      <c r="D20" s="529"/>
      <c r="E20" s="523"/>
      <c r="F20" s="523"/>
    </row>
    <row r="21" spans="1:7" ht="14.1" hidden="1" customHeight="1" thickBot="1" x14ac:dyDescent="0.35">
      <c r="A21" s="81" t="s">
        <v>52</v>
      </c>
      <c r="B21" s="94" t="s">
        <v>53</v>
      </c>
      <c r="C21" s="188">
        <f>Pool!AH27</f>
        <v>0</v>
      </c>
      <c r="D21" s="529"/>
      <c r="E21" s="523"/>
      <c r="F21" s="523"/>
    </row>
    <row r="22" spans="1:7" ht="14.1" customHeight="1" x14ac:dyDescent="0.3">
      <c r="A22" s="189"/>
      <c r="B22" s="207" t="s">
        <v>64</v>
      </c>
      <c r="C22" s="473">
        <f>C4+C5+C6+C7+C8+C9+C10+C11+C12+C15+C14</f>
        <v>296170.8</v>
      </c>
      <c r="D22" s="523" t="s">
        <v>171</v>
      </c>
      <c r="E22" s="523"/>
      <c r="F22" s="523"/>
    </row>
    <row r="23" spans="1:7" ht="5.0999999999999996" customHeight="1" thickBot="1" x14ac:dyDescent="0.35">
      <c r="A23" s="116"/>
      <c r="B23" s="116"/>
      <c r="C23" s="116"/>
      <c r="F23" s="210"/>
      <c r="G23" s="210"/>
    </row>
    <row r="24" spans="1:7" ht="14.1" customHeight="1" thickBot="1" x14ac:dyDescent="0.35">
      <c r="A24" s="524" t="s">
        <v>174</v>
      </c>
      <c r="B24" s="525"/>
      <c r="C24" s="526"/>
    </row>
    <row r="25" spans="1:7" ht="14.1" customHeight="1" x14ac:dyDescent="0.3">
      <c r="A25" s="126" t="s">
        <v>61</v>
      </c>
      <c r="B25" s="394" t="s">
        <v>62</v>
      </c>
      <c r="C25" s="395">
        <f>Pool!AH3</f>
        <v>1210.93</v>
      </c>
      <c r="D25" s="529"/>
      <c r="E25" s="523"/>
      <c r="F25" s="523"/>
    </row>
    <row r="26" spans="1:7" ht="14.1" hidden="1" customHeight="1" x14ac:dyDescent="0.3">
      <c r="A26" s="129" t="s">
        <v>153</v>
      </c>
      <c r="B26" s="396" t="s">
        <v>154</v>
      </c>
      <c r="C26" s="398">
        <f>Pool!AH11</f>
        <v>0</v>
      </c>
      <c r="D26" s="529" t="s">
        <v>179</v>
      </c>
      <c r="E26" s="523"/>
      <c r="F26" s="523"/>
    </row>
    <row r="27" spans="1:7" ht="14.1" hidden="1" customHeight="1" x14ac:dyDescent="0.3">
      <c r="A27" s="129" t="s">
        <v>164</v>
      </c>
      <c r="B27" s="396" t="s">
        <v>165</v>
      </c>
      <c r="C27" s="398">
        <f>Pool!AH12</f>
        <v>0</v>
      </c>
      <c r="D27" s="529" t="s">
        <v>169</v>
      </c>
      <c r="E27" s="523"/>
      <c r="F27" s="523"/>
    </row>
    <row r="28" spans="1:7" ht="14.1" hidden="1" customHeight="1" x14ac:dyDescent="0.3">
      <c r="A28" s="129" t="s">
        <v>166</v>
      </c>
      <c r="B28" s="396" t="s">
        <v>167</v>
      </c>
      <c r="C28" s="398">
        <f>Pool!AH13</f>
        <v>0</v>
      </c>
      <c r="D28" s="529" t="s">
        <v>170</v>
      </c>
      <c r="E28" s="523"/>
      <c r="F28" s="523"/>
    </row>
    <row r="29" spans="1:7" ht="14.1" customHeight="1" thickBot="1" x14ac:dyDescent="0.35">
      <c r="A29" s="135" t="s">
        <v>109</v>
      </c>
      <c r="B29" s="397" t="s">
        <v>175</v>
      </c>
      <c r="C29" s="399">
        <f>Pool!AH28</f>
        <v>192</v>
      </c>
      <c r="D29" s="529" t="s">
        <v>175</v>
      </c>
      <c r="E29" s="523"/>
      <c r="F29" s="523"/>
    </row>
    <row r="30" spans="1:7" ht="14.1" customHeight="1" x14ac:dyDescent="0.3">
      <c r="A30" s="116"/>
      <c r="B30" s="400" t="s">
        <v>176</v>
      </c>
      <c r="C30" s="401">
        <f>SUM(C25:C29)</f>
        <v>1402.93</v>
      </c>
      <c r="F30" s="210"/>
    </row>
    <row r="31" spans="1:7" ht="5.0999999999999996" customHeight="1" x14ac:dyDescent="0.3">
      <c r="A31" s="116"/>
      <c r="B31" s="402"/>
      <c r="C31" s="401"/>
      <c r="F31" s="210"/>
    </row>
    <row r="32" spans="1:7" ht="14.1" customHeight="1" x14ac:dyDescent="0.3">
      <c r="A32" s="116"/>
      <c r="B32" s="403" t="s">
        <v>177</v>
      </c>
      <c r="C32" s="404">
        <f>C30+C22</f>
        <v>297573.73</v>
      </c>
      <c r="D32" s="523" t="s">
        <v>178</v>
      </c>
      <c r="E32" s="523"/>
      <c r="F32" s="523"/>
    </row>
    <row r="33" spans="1:6" ht="5.0999999999999996" customHeight="1" thickBot="1" x14ac:dyDescent="0.35">
      <c r="A33" s="116"/>
      <c r="B33" s="116"/>
      <c r="C33" s="116"/>
    </row>
    <row r="34" spans="1:6" ht="14.1" customHeight="1" thickBot="1" x14ac:dyDescent="0.35">
      <c r="A34" s="524" t="s">
        <v>180</v>
      </c>
      <c r="B34" s="525"/>
      <c r="C34" s="526"/>
    </row>
    <row r="35" spans="1:6" ht="14.1" customHeight="1" x14ac:dyDescent="0.3">
      <c r="A35" s="126" t="s">
        <v>60</v>
      </c>
      <c r="B35" s="127" t="s">
        <v>86</v>
      </c>
      <c r="C35" s="157">
        <f>Pool!AL33</f>
        <v>41800.619999999995</v>
      </c>
    </row>
    <row r="36" spans="1:6" ht="14.1" customHeight="1" x14ac:dyDescent="0.3">
      <c r="A36" s="129" t="s">
        <v>60</v>
      </c>
      <c r="B36" s="130" t="s">
        <v>88</v>
      </c>
      <c r="C36" s="158">
        <f>Pool!AM33</f>
        <v>3832.6000000000004</v>
      </c>
    </row>
    <row r="37" spans="1:6" ht="14.1" customHeight="1" x14ac:dyDescent="0.3">
      <c r="A37" s="129" t="s">
        <v>60</v>
      </c>
      <c r="B37" s="130" t="s">
        <v>87</v>
      </c>
      <c r="C37" s="158">
        <f>Pool!AL34</f>
        <v>192488.38</v>
      </c>
    </row>
    <row r="38" spans="1:6" ht="14.1" customHeight="1" x14ac:dyDescent="0.3">
      <c r="A38" s="129" t="s">
        <v>60</v>
      </c>
      <c r="B38" s="130" t="s">
        <v>89</v>
      </c>
      <c r="C38" s="158">
        <f>Pool!AM34</f>
        <v>37659.700000000004</v>
      </c>
      <c r="D38" s="266"/>
      <c r="E38" s="210"/>
    </row>
    <row r="39" spans="1:6" ht="14.1" customHeight="1" x14ac:dyDescent="0.3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3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3">
      <c r="A41" s="129" t="s">
        <v>196</v>
      </c>
      <c r="B41" s="130" t="s">
        <v>197</v>
      </c>
      <c r="C41" s="158">
        <f>Pool!AL45+Pool!AM45</f>
        <v>7890.6299999999992</v>
      </c>
      <c r="E41" s="210"/>
    </row>
    <row r="42" spans="1:6" ht="14.1" customHeight="1" x14ac:dyDescent="0.3">
      <c r="A42" s="129" t="s">
        <v>32</v>
      </c>
      <c r="B42" s="130" t="s">
        <v>90</v>
      </c>
      <c r="C42" s="158">
        <f>Pool!AL43</f>
        <v>13771.799999999997</v>
      </c>
      <c r="D42" s="527"/>
      <c r="E42" s="528"/>
      <c r="F42" s="528"/>
    </row>
    <row r="43" spans="1:6" ht="14.1" customHeight="1" x14ac:dyDescent="0.3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5">
      <c r="A44" s="135" t="s">
        <v>109</v>
      </c>
      <c r="B44" s="136" t="s">
        <v>172</v>
      </c>
      <c r="C44" s="159">
        <f>Pool!AL38</f>
        <v>130</v>
      </c>
    </row>
    <row r="45" spans="1:6" ht="12.75" customHeight="1" x14ac:dyDescent="0.3">
      <c r="A45" s="205"/>
      <c r="B45" s="208" t="s">
        <v>65</v>
      </c>
      <c r="C45" s="209">
        <f>SUM(C35:C44)</f>
        <v>297573.73</v>
      </c>
    </row>
    <row r="46" spans="1:6" ht="5.0999999999999996" customHeight="1" thickBot="1" x14ac:dyDescent="0.35">
      <c r="D46" s="209"/>
      <c r="E46" s="210"/>
    </row>
    <row r="47" spans="1:6" ht="14.1" customHeight="1" x14ac:dyDescent="0.3">
      <c r="B47" s="126" t="s">
        <v>57</v>
      </c>
      <c r="C47" s="236">
        <f>Pool!AJ47</f>
        <v>13281</v>
      </c>
    </row>
    <row r="48" spans="1:6" ht="14.1" customHeight="1" x14ac:dyDescent="0.3">
      <c r="B48" s="129" t="s">
        <v>58</v>
      </c>
      <c r="C48" s="237">
        <f>Pool!AJ48</f>
        <v>2353</v>
      </c>
    </row>
    <row r="49" spans="1:5" ht="14.1" customHeight="1" thickBot="1" x14ac:dyDescent="0.35">
      <c r="B49" s="238" t="s">
        <v>106</v>
      </c>
      <c r="C49" s="239">
        <f>C47+C48</f>
        <v>15634</v>
      </c>
    </row>
    <row r="50" spans="1:5" ht="5.0999999999999996" customHeight="1" thickBot="1" x14ac:dyDescent="0.35"/>
    <row r="51" spans="1:5" ht="14.1" customHeight="1" thickBot="1" x14ac:dyDescent="0.35">
      <c r="B51" s="240" t="s">
        <v>116</v>
      </c>
      <c r="C51" s="241">
        <f>Pool!AJ54</f>
        <v>18.096734201596931</v>
      </c>
    </row>
    <row r="52" spans="1:5" ht="5.0999999999999996" customHeight="1" thickBot="1" x14ac:dyDescent="0.35"/>
    <row r="53" spans="1:5" ht="14.1" customHeight="1" thickBot="1" x14ac:dyDescent="0.35">
      <c r="A53" s="264"/>
      <c r="B53" s="299" t="s">
        <v>128</v>
      </c>
      <c r="C53" s="300" t="s">
        <v>139</v>
      </c>
    </row>
    <row r="54" spans="1:5" ht="14.1" customHeight="1" x14ac:dyDescent="0.3">
      <c r="B54" s="83" t="s">
        <v>133</v>
      </c>
      <c r="C54" s="311">
        <f>Pool!AJ57</f>
        <v>97.941176470588232</v>
      </c>
    </row>
    <row r="55" spans="1:5" ht="14.1" customHeight="1" x14ac:dyDescent="0.3">
      <c r="A55" s="264"/>
      <c r="B55" s="312" t="s">
        <v>134</v>
      </c>
      <c r="C55" s="313">
        <f>Pool!AJ58</f>
        <v>86.705882352941174</v>
      </c>
    </row>
    <row r="56" spans="1:5" ht="14.1" customHeight="1" x14ac:dyDescent="0.3">
      <c r="B56" s="312" t="s">
        <v>136</v>
      </c>
      <c r="C56" s="313">
        <f>Pool!AJ59</f>
        <v>81.294117647058826</v>
      </c>
    </row>
    <row r="57" spans="1:5" ht="14.1" customHeight="1" thickBot="1" x14ac:dyDescent="0.35">
      <c r="B57" s="314" t="s">
        <v>140</v>
      </c>
      <c r="C57" s="315">
        <f>Pool!AJ60</f>
        <v>0</v>
      </c>
    </row>
    <row r="58" spans="1:5" x14ac:dyDescent="0.3">
      <c r="A58" s="376"/>
      <c r="B58" s="376"/>
      <c r="C58" s="376"/>
      <c r="E58" s="376"/>
    </row>
    <row r="59" spans="1:5" x14ac:dyDescent="0.3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4:F4"/>
    <mergeCell ref="D6:F6"/>
    <mergeCell ref="D12:F12"/>
    <mergeCell ref="D8:F8"/>
    <mergeCell ref="D7:F7"/>
    <mergeCell ref="D5:F5"/>
    <mergeCell ref="D19:F19"/>
    <mergeCell ref="D20:F20"/>
    <mergeCell ref="D9:F9"/>
    <mergeCell ref="D10:F10"/>
    <mergeCell ref="D11:F11"/>
    <mergeCell ref="D13:F13"/>
    <mergeCell ref="D14:F14"/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ColWidth="9.109375" defaultRowHeight="14.4" x14ac:dyDescent="0.3"/>
  <cols>
    <col min="1" max="1" width="11.33203125" style="59" customWidth="1"/>
    <col min="2" max="2" width="29.33203125" style="59" bestFit="1" customWidth="1"/>
    <col min="3" max="3" width="21.6640625" style="59" customWidth="1"/>
    <col min="4" max="4" width="11.109375" style="59" bestFit="1" customWidth="1"/>
    <col min="5" max="5" width="11.33203125" style="59" bestFit="1" customWidth="1"/>
    <col min="6" max="16384" width="9.109375" style="59"/>
  </cols>
  <sheetData>
    <row r="1" spans="1:5" x14ac:dyDescent="0.3">
      <c r="A1" s="256" t="s">
        <v>115</v>
      </c>
      <c r="B1" s="254" t="str">
        <f>CONCATENATE('Cash Flow'!C1, "  ",'Cash Flow'!D1)</f>
        <v>September  2023</v>
      </c>
    </row>
    <row r="2" spans="1:5" ht="15" thickBot="1" x14ac:dyDescent="0.35"/>
    <row r="3" spans="1:5" x14ac:dyDescent="0.3">
      <c r="A3" s="250" t="s">
        <v>61</v>
      </c>
      <c r="B3" s="251" t="s">
        <v>100</v>
      </c>
      <c r="C3" s="128">
        <f>'Box Canon'!AH3+'Box Canon'!AH9</f>
        <v>932.48999999999978</v>
      </c>
      <c r="D3" s="116"/>
    </row>
    <row r="4" spans="1:5" x14ac:dyDescent="0.3">
      <c r="A4" s="252" t="s">
        <v>69</v>
      </c>
      <c r="B4" s="253" t="s">
        <v>70</v>
      </c>
      <c r="C4" s="131">
        <f>'Box Canon'!AH4+'Box Canon'!AH10</f>
        <v>89131.98</v>
      </c>
      <c r="D4" s="116"/>
    </row>
    <row r="5" spans="1:5" x14ac:dyDescent="0.3">
      <c r="A5" s="252" t="s">
        <v>80</v>
      </c>
      <c r="B5" s="253" t="s">
        <v>101</v>
      </c>
      <c r="C5" s="131">
        <f>'Box Canon'!AH5+'Box Canon'!AH11</f>
        <v>276.33</v>
      </c>
      <c r="D5" s="116"/>
    </row>
    <row r="6" spans="1:5" x14ac:dyDescent="0.3">
      <c r="A6" s="252" t="s">
        <v>79</v>
      </c>
      <c r="B6" s="253" t="s">
        <v>102</v>
      </c>
      <c r="C6" s="131">
        <f>'Box Canon'!AH6+'Box Canon'!AH12</f>
        <v>9867.75</v>
      </c>
      <c r="D6" s="116"/>
    </row>
    <row r="7" spans="1:5" x14ac:dyDescent="0.3">
      <c r="A7" s="252" t="s">
        <v>79</v>
      </c>
      <c r="B7" s="253" t="s">
        <v>81</v>
      </c>
      <c r="C7" s="131">
        <f>'Box Canon'!AH7+'Box Canon'!AH13</f>
        <v>44.15</v>
      </c>
      <c r="D7" s="116"/>
    </row>
    <row r="8" spans="1:5" x14ac:dyDescent="0.3">
      <c r="A8" s="252"/>
      <c r="B8" s="253"/>
      <c r="C8" s="131"/>
      <c r="D8" s="116"/>
    </row>
    <row r="9" spans="1:5" x14ac:dyDescent="0.3">
      <c r="A9" s="129" t="s">
        <v>84</v>
      </c>
      <c r="B9" s="130" t="s">
        <v>96</v>
      </c>
      <c r="C9" s="131">
        <f>-('Box Canon'!AH26+'Box Canon'!AH27)</f>
        <v>-2883.05</v>
      </c>
      <c r="D9" s="116"/>
    </row>
    <row r="10" spans="1:5" ht="15" thickBot="1" x14ac:dyDescent="0.35">
      <c r="A10" s="182"/>
      <c r="B10" s="183"/>
      <c r="C10" s="184"/>
      <c r="D10" s="254"/>
      <c r="E10" s="170"/>
    </row>
    <row r="11" spans="1:5" x14ac:dyDescent="0.3">
      <c r="A11" s="116"/>
      <c r="B11" s="248" t="s">
        <v>64</v>
      </c>
      <c r="C11" s="206"/>
      <c r="D11" s="249">
        <f>SUM(C3:C9)</f>
        <v>97369.65</v>
      </c>
    </row>
    <row r="12" spans="1:5" ht="15" thickBot="1" x14ac:dyDescent="0.35">
      <c r="C12" s="156"/>
    </row>
    <row r="13" spans="1:5" x14ac:dyDescent="0.3">
      <c r="A13" s="126" t="s">
        <v>60</v>
      </c>
      <c r="B13" s="127" t="s">
        <v>92</v>
      </c>
      <c r="C13" s="128">
        <f>'Box Canon'!AL20</f>
        <v>33761.42</v>
      </c>
    </row>
    <row r="14" spans="1:5" x14ac:dyDescent="0.3">
      <c r="A14" s="129" t="s">
        <v>60</v>
      </c>
      <c r="B14" s="130" t="s">
        <v>94</v>
      </c>
      <c r="C14" s="131">
        <f>'Box Canon'!AM20</f>
        <v>3266.64</v>
      </c>
    </row>
    <row r="15" spans="1:5" x14ac:dyDescent="0.3">
      <c r="A15" s="129" t="s">
        <v>60</v>
      </c>
      <c r="B15" s="130" t="s">
        <v>93</v>
      </c>
      <c r="C15" s="131">
        <f>'Box Canon'!AL21</f>
        <v>47606.429999999993</v>
      </c>
      <c r="E15" s="255">
        <f>D11-D22</f>
        <v>0</v>
      </c>
    </row>
    <row r="16" spans="1:5" x14ac:dyDescent="0.3">
      <c r="A16" s="129" t="s">
        <v>60</v>
      </c>
      <c r="B16" s="130" t="s">
        <v>95</v>
      </c>
      <c r="C16" s="131">
        <f>'Box Canon'!AM21</f>
        <v>10757.67</v>
      </c>
    </row>
    <row r="17" spans="1:4" x14ac:dyDescent="0.3">
      <c r="A17" s="129" t="s">
        <v>60</v>
      </c>
      <c r="B17" s="130" t="s">
        <v>207</v>
      </c>
      <c r="C17" s="131">
        <f>'Box Canon'!AL22</f>
        <v>0</v>
      </c>
    </row>
    <row r="18" spans="1:4" x14ac:dyDescent="0.3">
      <c r="A18" s="129" t="s">
        <v>60</v>
      </c>
      <c r="B18" s="130" t="s">
        <v>208</v>
      </c>
      <c r="C18" s="131">
        <f>'Box Canon'!AM22</f>
        <v>0</v>
      </c>
    </row>
    <row r="19" spans="1:4" x14ac:dyDescent="0.3">
      <c r="A19" s="129" t="s">
        <v>203</v>
      </c>
      <c r="B19" s="130" t="s">
        <v>224</v>
      </c>
      <c r="C19" s="131">
        <f>'Box Canon'!AL29+'Box Canon'!AM29</f>
        <v>1977.4900000000005</v>
      </c>
    </row>
    <row r="20" spans="1:4" x14ac:dyDescent="0.3">
      <c r="A20" s="129"/>
      <c r="B20" s="130"/>
      <c r="C20" s="131"/>
    </row>
    <row r="21" spans="1:4" ht="15" thickBot="1" x14ac:dyDescent="0.35">
      <c r="A21" s="182"/>
      <c r="B21" s="183"/>
      <c r="C21" s="184"/>
      <c r="D21" s="170"/>
    </row>
    <row r="22" spans="1:4" x14ac:dyDescent="0.3">
      <c r="B22" s="248" t="s">
        <v>65</v>
      </c>
      <c r="C22" s="206"/>
      <c r="D22" s="249">
        <f>SUM(C13:C20)</f>
        <v>97369.65</v>
      </c>
    </row>
    <row r="23" spans="1:4" ht="15" thickBot="1" x14ac:dyDescent="0.35"/>
    <row r="24" spans="1:4" x14ac:dyDescent="0.3">
      <c r="B24" s="534" t="s">
        <v>57</v>
      </c>
      <c r="C24" s="535"/>
    </row>
    <row r="25" spans="1:4" x14ac:dyDescent="0.3">
      <c r="B25" s="143" t="s">
        <v>75</v>
      </c>
      <c r="C25" s="145">
        <f>'Box Canon'!AJ32</f>
        <v>8887</v>
      </c>
    </row>
    <row r="26" spans="1:4" x14ac:dyDescent="0.3">
      <c r="B26" s="143" t="s">
        <v>74</v>
      </c>
      <c r="C26" s="145">
        <f>'Box Canon'!AJ33</f>
        <v>1207</v>
      </c>
    </row>
    <row r="27" spans="1:4" x14ac:dyDescent="0.3">
      <c r="B27" s="143" t="s">
        <v>199</v>
      </c>
      <c r="C27" s="145">
        <f>'Box Canon'!AJ34</f>
        <v>203</v>
      </c>
    </row>
    <row r="28" spans="1:4" x14ac:dyDescent="0.3">
      <c r="B28" s="143" t="s">
        <v>72</v>
      </c>
      <c r="C28" s="145">
        <f>'Box Canon'!AJ35</f>
        <v>122</v>
      </c>
    </row>
    <row r="29" spans="1:4" x14ac:dyDescent="0.3">
      <c r="B29" s="143" t="s">
        <v>73</v>
      </c>
      <c r="C29" s="145">
        <f>'Box Canon'!AJ36</f>
        <v>3378</v>
      </c>
    </row>
    <row r="30" spans="1:4" x14ac:dyDescent="0.3">
      <c r="B30" s="143" t="s">
        <v>71</v>
      </c>
      <c r="C30" s="145">
        <f>'Box Canon'!AJ37</f>
        <v>534</v>
      </c>
    </row>
    <row r="31" spans="1:4" x14ac:dyDescent="0.3">
      <c r="B31" s="129"/>
      <c r="C31" s="245"/>
    </row>
    <row r="32" spans="1:4" ht="15" thickBot="1" x14ac:dyDescent="0.35">
      <c r="B32" s="246" t="s">
        <v>76</v>
      </c>
      <c r="C32" s="247">
        <f>SUM(C25:C30)</f>
        <v>14331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25" sqref="D25"/>
    </sheetView>
  </sheetViews>
  <sheetFormatPr defaultColWidth="9.109375" defaultRowHeight="14.4" x14ac:dyDescent="0.3"/>
  <cols>
    <col min="1" max="1" width="13.44140625" style="59" bestFit="1" customWidth="1"/>
    <col min="2" max="2" width="31.88671875" style="59" bestFit="1" customWidth="1"/>
    <col min="3" max="3" width="21.6640625" style="59" customWidth="1"/>
    <col min="4" max="4" width="11.109375" style="59" bestFit="1" customWidth="1"/>
    <col min="5" max="5" width="11.33203125" style="59" bestFit="1" customWidth="1"/>
    <col min="6" max="16384" width="9.109375" style="59"/>
  </cols>
  <sheetData>
    <row r="1" spans="1:5" x14ac:dyDescent="0.3">
      <c r="A1" s="256" t="s">
        <v>209</v>
      </c>
      <c r="B1" s="254" t="str">
        <f>CONCATENATE('Cash Flow'!C1, " ",'Cash Flow'!D1)</f>
        <v>September 2023</v>
      </c>
    </row>
    <row r="2" spans="1:5" ht="15" thickBot="1" x14ac:dyDescent="0.35"/>
    <row r="3" spans="1:5" x14ac:dyDescent="0.3">
      <c r="A3" s="250" t="s">
        <v>61</v>
      </c>
      <c r="B3" s="251" t="s">
        <v>217</v>
      </c>
      <c r="C3" s="128">
        <f>'Visitor Center'!AH3</f>
        <v>268.03000000000003</v>
      </c>
      <c r="D3" s="116"/>
    </row>
    <row r="4" spans="1:5" x14ac:dyDescent="0.3">
      <c r="A4" s="252" t="s">
        <v>210</v>
      </c>
      <c r="B4" s="253" t="s">
        <v>211</v>
      </c>
      <c r="C4" s="131">
        <f>'Visitor Center'!AH4</f>
        <v>2834.9100000000003</v>
      </c>
      <c r="D4" s="116"/>
    </row>
    <row r="5" spans="1:5" x14ac:dyDescent="0.3">
      <c r="A5" s="252" t="s">
        <v>210</v>
      </c>
      <c r="B5" s="253" t="s">
        <v>235</v>
      </c>
      <c r="C5" s="131">
        <f>'Visitor Center'!AH5</f>
        <v>698</v>
      </c>
      <c r="D5" s="116"/>
    </row>
    <row r="6" spans="1:5" x14ac:dyDescent="0.3">
      <c r="A6" s="252" t="s">
        <v>210</v>
      </c>
      <c r="B6" s="253" t="s">
        <v>233</v>
      </c>
      <c r="C6" s="131">
        <f>'Visitor Center'!AH6</f>
        <v>75.75</v>
      </c>
      <c r="D6" s="116"/>
    </row>
    <row r="7" spans="1:5" x14ac:dyDescent="0.3">
      <c r="A7" s="252" t="s">
        <v>214</v>
      </c>
      <c r="B7" s="130" t="s">
        <v>215</v>
      </c>
      <c r="C7" s="131">
        <f>-'Visitor Center'!AL13</f>
        <v>-205.07</v>
      </c>
      <c r="D7" s="116"/>
    </row>
    <row r="8" spans="1:5" ht="15" thickBot="1" x14ac:dyDescent="0.35">
      <c r="A8" s="182"/>
      <c r="B8" s="183"/>
      <c r="C8" s="184"/>
      <c r="D8" s="254"/>
      <c r="E8" s="170"/>
    </row>
    <row r="9" spans="1:5" x14ac:dyDescent="0.3">
      <c r="A9" s="116"/>
      <c r="B9" s="248" t="s">
        <v>64</v>
      </c>
      <c r="C9" s="206"/>
      <c r="D9" s="249">
        <f>SUM(C3:C7)</f>
        <v>3671.6200000000003</v>
      </c>
    </row>
    <row r="10" spans="1:5" ht="15" thickBot="1" x14ac:dyDescent="0.35">
      <c r="C10" s="156"/>
    </row>
    <row r="11" spans="1:5" x14ac:dyDescent="0.3">
      <c r="A11" s="126" t="s">
        <v>60</v>
      </c>
      <c r="B11" s="127" t="s">
        <v>218</v>
      </c>
      <c r="C11" s="128">
        <f>'Visitor Center'!AL9</f>
        <v>944.36999999999989</v>
      </c>
    </row>
    <row r="12" spans="1:5" x14ac:dyDescent="0.3">
      <c r="A12" s="129" t="s">
        <v>60</v>
      </c>
      <c r="B12" s="130" t="s">
        <v>219</v>
      </c>
      <c r="C12" s="131">
        <f>'Visitor Center'!AM9</f>
        <v>18.489999999999998</v>
      </c>
    </row>
    <row r="13" spans="1:5" x14ac:dyDescent="0.3">
      <c r="A13" s="129" t="s">
        <v>60</v>
      </c>
      <c r="B13" s="130" t="s">
        <v>220</v>
      </c>
      <c r="C13" s="131">
        <f>'Visitor Center'!AL10</f>
        <v>2061.1</v>
      </c>
      <c r="E13" s="255">
        <f>D9-D18</f>
        <v>0</v>
      </c>
    </row>
    <row r="14" spans="1:5" x14ac:dyDescent="0.3">
      <c r="A14" s="129" t="s">
        <v>60</v>
      </c>
      <c r="B14" s="130" t="s">
        <v>221</v>
      </c>
      <c r="C14" s="131">
        <f>'Visitor Center'!AM10</f>
        <v>556.80000000000007</v>
      </c>
    </row>
    <row r="15" spans="1:5" x14ac:dyDescent="0.3">
      <c r="A15" s="129" t="s">
        <v>216</v>
      </c>
      <c r="B15" s="130" t="s">
        <v>223</v>
      </c>
      <c r="C15" s="131">
        <f>'Visitor Center'!AL15+'Visitor Center'!AM15</f>
        <v>90.860000000000014</v>
      </c>
    </row>
    <row r="16" spans="1:5" x14ac:dyDescent="0.3">
      <c r="A16" s="129"/>
      <c r="B16" s="130"/>
      <c r="C16" s="131"/>
    </row>
    <row r="17" spans="1:4" ht="15" thickBot="1" x14ac:dyDescent="0.35">
      <c r="A17" s="182"/>
      <c r="B17" s="183"/>
      <c r="C17" s="184"/>
      <c r="D17" s="170"/>
    </row>
    <row r="18" spans="1:4" x14ac:dyDescent="0.3">
      <c r="B18" s="248" t="s">
        <v>65</v>
      </c>
      <c r="C18" s="206"/>
      <c r="D18" s="249">
        <f>SUM(C11:C16)</f>
        <v>3671.6200000000003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2023-10-05T16:56:04Z</cp:lastPrinted>
  <dcterms:created xsi:type="dcterms:W3CDTF">2017-08-14T15:26:56Z</dcterms:created>
  <dcterms:modified xsi:type="dcterms:W3CDTF">2023-10-11T16:50:37Z</dcterms:modified>
</cp:coreProperties>
</file>