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7oEZd4mu1vL7RQGUwlxMN1PQB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G1">
      <text>
        <t xml:space="preserve">======
ID#AAAAwvSdeYc
J T    (2023-05-11 04:38:16)
what the diff</t>
      </text>
    </comment>
  </commentList>
  <extLst>
    <ext uri="GoogleSheetsCustomDataVersion1">
      <go:sheetsCustomData xmlns:go="http://customooxmlschemas.google.com/" r:id="rId1" roundtripDataSignature="AMtx7mhpp/3bVK9CtgnM74aNbmszgQdEvw=="/>
    </ext>
  </extLst>
</comments>
</file>

<file path=xl/sharedStrings.xml><?xml version="1.0" encoding="utf-8"?>
<sst xmlns="http://schemas.openxmlformats.org/spreadsheetml/2006/main" count="80" uniqueCount="80">
  <si>
    <t>Concept</t>
  </si>
  <si>
    <t>Pilots</t>
  </si>
  <si>
    <t>Passengers</t>
  </si>
  <si>
    <t>Battery Specific Energy [wh/kg]</t>
  </si>
  <si>
    <t>Range 
(nmi)</t>
  </si>
  <si>
    <t>Endurance 
(hours)</t>
  </si>
  <si>
    <t>Propellor 
Efficiency</t>
  </si>
  <si>
    <t>Speed (knots)</t>
  </si>
  <si>
    <t>L/D</t>
  </si>
  <si>
    <t>Raymer 
Coefficient A</t>
  </si>
  <si>
    <t>Raymer 
Coefficient B</t>
  </si>
  <si>
    <t>No. Engines</t>
  </si>
  <si>
    <t>No. Propellers</t>
  </si>
  <si>
    <t>Propeller 
Diameter (ft)</t>
  </si>
  <si>
    <t>AR</t>
  </si>
  <si>
    <t>Clmax 
Landing</t>
  </si>
  <si>
    <t>Clmax Cruise</t>
  </si>
  <si>
    <t>Clmax 
Takeoff</t>
  </si>
  <si>
    <t>e Clean</t>
  </si>
  <si>
    <t>e Takeoff</t>
  </si>
  <si>
    <t>e Landing</t>
  </si>
  <si>
    <t>delta
Takeoff
Flaps</t>
  </si>
  <si>
    <t>delta
Landing
Flaps</t>
  </si>
  <si>
    <t>delta
Landing
Gear</t>
  </si>
  <si>
    <t>Wing Area [ft^2]</t>
  </si>
  <si>
    <t>Wing Root Chord [ft]</t>
  </si>
  <si>
    <t>Wing Tip Chord [ft]</t>
  </si>
  <si>
    <t>t_c nondimensional thickness of wing at root</t>
  </si>
  <si>
    <t>Wing Taper Ratio</t>
  </si>
  <si>
    <t>Wing Sweep Angle [deg]</t>
  </si>
  <si>
    <t>Wing Control Surface Area (including flaps) [ft^2]</t>
  </si>
  <si>
    <t>Wing Quarter MAC to Tail Quarter MAC [ft]</t>
  </si>
  <si>
    <t>Wing Aerodynamic Center to Vertical Tail Aerodynamic Center [ft]</t>
  </si>
  <si>
    <t>Wing Aerodynamic Center to Horizontal Tail Aerodynamic Center [ft]</t>
  </si>
  <si>
    <t>Limit Load Factor</t>
  </si>
  <si>
    <t>Horizontal Tail Area [ft^2]</t>
  </si>
  <si>
    <t>Horizontal Tail Sweep Angle [deg]</t>
  </si>
  <si>
    <t>Horizontal Tail AR</t>
  </si>
  <si>
    <t>Elevator Area [ft^2]</t>
  </si>
  <si>
    <t>Vertical Tail Area [ft^2]</t>
  </si>
  <si>
    <t>Vertical Tail Sweep Angle [deg]</t>
  </si>
  <si>
    <t>Vertical Tail AR</t>
  </si>
  <si>
    <t>Fuselage Wetted Area [ft]</t>
  </si>
  <si>
    <t>Fuselage Length [ft]</t>
  </si>
  <si>
    <t>Fuslage Structural Length [ft]</t>
  </si>
  <si>
    <t>Wing Span [ft]</t>
  </si>
  <si>
    <t>Fuselage Structural Depth [ft]</t>
  </si>
  <si>
    <t>Ultimate Landing Load Factor</t>
  </si>
  <si>
    <t>Length of Extended Main Landing Gear [in]</t>
  </si>
  <si>
    <t>Number of Main Wheels</t>
  </si>
  <si>
    <t>Number of Main Gear Shock Struts</t>
  </si>
  <si>
    <t>Length of Extended Nose Gear [in]</t>
  </si>
  <si>
    <t>Number of Nose Wheels</t>
  </si>
  <si>
    <t>Nacelle Length [ft]</t>
  </si>
  <si>
    <t>Nacelle Width [ft]</t>
  </si>
  <si>
    <t>Nacelle Wetted Area [ft^2]</t>
  </si>
  <si>
    <t>Routing Distance from Engine Front to Cockpit [ft]</t>
  </si>
  <si>
    <t>Engine Weight</t>
  </si>
  <si>
    <t>Total Volume of Fuel [gal]</t>
  </si>
  <si>
    <t>Integral Tanks Volume [gal]</t>
  </si>
  <si>
    <t>Self Sealing Tanks Volume [gal]</t>
  </si>
  <si>
    <t>Number of Tanks</t>
  </si>
  <si>
    <t>Number of Separate Functions Performed by Surface Controls</t>
  </si>
  <si>
    <t>Uninstalled APU Weight</t>
  </si>
  <si>
    <t>System Electrical Rating [kVa]</t>
  </si>
  <si>
    <t>Electrical Routing Distance from Generators to Avionics [ft]</t>
  </si>
  <si>
    <t>Number of Generators</t>
  </si>
  <si>
    <t>Battery Percentage</t>
  </si>
  <si>
    <t>Flap</t>
  </si>
  <si>
    <t>Aileron</t>
  </si>
  <si>
    <t>Elevator</t>
  </si>
  <si>
    <t>Rudder</t>
  </si>
  <si>
    <t>flap ratio</t>
  </si>
  <si>
    <t>area</t>
  </si>
  <si>
    <t>aileron ratio</t>
  </si>
  <si>
    <t>h</t>
  </si>
  <si>
    <t>elavator ratio</t>
  </si>
  <si>
    <t>top</t>
  </si>
  <si>
    <t>rudder</t>
  </si>
  <si>
    <t>bottom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</si>
</sst>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9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1" numFmtId="0" xfId="0" applyBorder="1" applyFont="1"/>
    <xf borderId="1" fillId="3" fontId="1" numFmtId="0" xfId="0" applyAlignment="1" applyBorder="1" applyFill="1" applyFont="1">
      <alignment shrinkToFit="0" wrapText="1"/>
    </xf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1" fillId="3" fontId="3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4.71"/>
    <col customWidth="1" min="3" max="3" width="8.57"/>
    <col customWidth="1" min="4" max="4" width="6.86"/>
    <col customWidth="1" min="5" max="5" width="5.0"/>
    <col customWidth="1" min="6" max="6" width="8.0"/>
    <col customWidth="1" min="7" max="7" width="7.43"/>
    <col customWidth="1" min="8" max="8" width="5.71"/>
    <col customWidth="1" min="9" max="9" width="5.43"/>
    <col customWidth="1" min="10" max="10" width="8.43"/>
    <col customWidth="1" min="11" max="11" width="8.29"/>
    <col customWidth="1" min="12" max="12" width="6.14"/>
    <col customWidth="1" min="13" max="13" width="8.14"/>
    <col customWidth="1" min="14" max="14" width="7.29"/>
    <col customWidth="1" min="15" max="15" width="6.14"/>
    <col customWidth="1" min="16" max="16" width="6.0"/>
    <col customWidth="1" min="17" max="17" width="5.14"/>
    <col customWidth="1" min="18" max="18" width="5.86"/>
    <col customWidth="1" min="19" max="19" width="4.86"/>
    <col customWidth="1" min="20" max="20" width="6.14"/>
    <col customWidth="1" min="21" max="21" width="6.29"/>
    <col customWidth="1" min="22" max="22" width="6.14"/>
    <col customWidth="1" min="23" max="23" width="6.29"/>
    <col customWidth="1" min="24" max="24" width="6.14"/>
    <col customWidth="1" min="25" max="25" width="4.43"/>
    <col customWidth="1" min="26" max="27" width="8.57"/>
    <col customWidth="1" min="28" max="28" width="11.86"/>
    <col customWidth="1" min="29" max="29" width="8.71"/>
    <col customWidth="1" min="30" max="30" width="5.71"/>
    <col customWidth="1" min="31" max="31" width="12.0"/>
    <col customWidth="1" min="32" max="32" width="14.0"/>
    <col customWidth="1" min="33" max="33" width="14.14"/>
    <col customWidth="1" min="34" max="34" width="10.29"/>
    <col customWidth="1" min="35" max="35" width="5.0"/>
    <col customWidth="1" min="36" max="37" width="7.86"/>
    <col customWidth="1" min="38" max="38" width="7.71"/>
    <col customWidth="1" min="39" max="39" width="6.29"/>
    <col customWidth="1" min="40" max="40" width="6.0"/>
    <col customWidth="1" min="41" max="42" width="6.14"/>
    <col customWidth="1" min="43" max="43" width="9.71"/>
    <col customWidth="1" min="44" max="44" width="7.29"/>
    <col customWidth="1" min="45" max="45" width="8.29"/>
    <col customWidth="1" min="46" max="46" width="4.71"/>
    <col customWidth="1" min="47" max="47" width="7.43"/>
    <col customWidth="1" min="48" max="48" width="7.14"/>
    <col customWidth="1" min="49" max="49" width="8.0"/>
    <col customWidth="1" min="50" max="50" width="6.86"/>
    <col customWidth="1" min="51" max="51" width="6.71"/>
    <col customWidth="1" min="52" max="52" width="7.71"/>
    <col customWidth="1" min="53" max="56" width="6.43"/>
    <col customWidth="1" min="57" max="57" width="7.71"/>
    <col customWidth="1" min="58" max="58" width="5.71"/>
    <col customWidth="1" min="59" max="59" width="6.29"/>
    <col customWidth="1" min="60" max="60" width="7.86"/>
    <col customWidth="1" min="61" max="62" width="6.71"/>
    <col customWidth="1" min="63" max="63" width="12.57"/>
    <col customWidth="1" min="64" max="64" width="9.14"/>
    <col customWidth="1" min="65" max="65" width="7.14"/>
    <col customWidth="1" min="66" max="66" width="9.71"/>
    <col customWidth="1" min="67" max="67" width="8.86"/>
    <col customWidth="1" min="68" max="68" width="10.0"/>
  </cols>
  <sheetData>
    <row r="1" ht="90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5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2" t="s">
        <v>67</v>
      </c>
    </row>
    <row r="2" ht="14.25" customHeight="1">
      <c r="A2" s="6">
        <v>1.0</v>
      </c>
      <c r="B2" s="6">
        <v>2.0</v>
      </c>
      <c r="C2" s="6">
        <v>50.0</v>
      </c>
      <c r="D2" s="6">
        <v>750.0</v>
      </c>
      <c r="E2" s="6">
        <v>1000.0</v>
      </c>
      <c r="F2" s="6">
        <v>0.25</v>
      </c>
      <c r="G2" s="6">
        <v>0.8</v>
      </c>
      <c r="H2" s="6">
        <v>300.0</v>
      </c>
      <c r="I2" s="6">
        <v>17.0</v>
      </c>
      <c r="J2" s="6">
        <v>0.96</v>
      </c>
      <c r="K2" s="6">
        <v>-0.05</v>
      </c>
      <c r="L2" s="7">
        <v>2.0</v>
      </c>
      <c r="M2" s="7">
        <v>2.0</v>
      </c>
      <c r="N2" s="7">
        <v>13.0</v>
      </c>
      <c r="O2" s="7">
        <v>13.0</v>
      </c>
      <c r="P2" s="8">
        <v>2.6</v>
      </c>
      <c r="Q2" s="8">
        <v>1.2</v>
      </c>
      <c r="R2" s="8">
        <v>2.0</v>
      </c>
      <c r="S2" s="8">
        <v>0.85</v>
      </c>
      <c r="T2" s="8">
        <v>0.8</v>
      </c>
      <c r="U2" s="8">
        <v>0.75</v>
      </c>
      <c r="V2" s="8">
        <v>0.015</v>
      </c>
      <c r="W2" s="8">
        <v>0.065</v>
      </c>
      <c r="X2" s="8">
        <v>0.02</v>
      </c>
      <c r="Y2" s="8">
        <v>750.0</v>
      </c>
      <c r="Z2" s="8">
        <v>18.3966</v>
      </c>
      <c r="AA2" s="8">
        <v>3.1752</v>
      </c>
      <c r="AB2" s="8">
        <v>0.13406</v>
      </c>
      <c r="AC2" s="9">
        <f>AA2/Z2</f>
        <v>0.1725971103</v>
      </c>
      <c r="AD2" s="8">
        <v>19.0</v>
      </c>
      <c r="AE2" s="8">
        <f>15.143*2.709*2 + 14.841*1.975*2</f>
        <v>140.666724</v>
      </c>
      <c r="AF2" s="8">
        <f>77.694-33.794</f>
        <v>43.9</v>
      </c>
      <c r="AG2" s="8">
        <v>39.899</v>
      </c>
      <c r="AH2" s="8">
        <v>46.916</v>
      </c>
      <c r="AI2" s="7">
        <f>4</f>
        <v>4</v>
      </c>
      <c r="AJ2" s="7">
        <v>175.0</v>
      </c>
      <c r="AK2" s="8">
        <v>30.0</v>
      </c>
      <c r="AL2" s="8">
        <v>4.0</v>
      </c>
      <c r="AM2" s="8">
        <f>8.774*2.355*2</f>
        <v>41.32554</v>
      </c>
      <c r="AN2" s="8">
        <v>160.0</v>
      </c>
      <c r="AO2" s="8">
        <v>25.3</v>
      </c>
      <c r="AP2" s="8">
        <v>1.05</v>
      </c>
      <c r="AQ2" s="8">
        <v>1186.422</v>
      </c>
      <c r="AR2" s="8">
        <v>83.0</v>
      </c>
      <c r="AS2" s="8">
        <f>83*0.97</f>
        <v>80.51</v>
      </c>
      <c r="AT2" s="8">
        <v>110.0</v>
      </c>
      <c r="AU2" s="8">
        <v>0.325</v>
      </c>
      <c r="AV2" s="8">
        <v>4.5</v>
      </c>
      <c r="AW2" s="8">
        <f>3.3*12</f>
        <v>39.6</v>
      </c>
      <c r="AX2" s="8">
        <v>8.0</v>
      </c>
      <c r="AY2" s="8">
        <v>2.0</v>
      </c>
      <c r="AZ2" s="8">
        <f>2*12</f>
        <v>24</v>
      </c>
      <c r="BA2" s="8">
        <v>2.0</v>
      </c>
      <c r="BB2" s="8">
        <v>14.8</v>
      </c>
      <c r="BC2" s="8">
        <f>14.8/7</f>
        <v>2.114285714</v>
      </c>
      <c r="BD2" s="8">
        <f>252.92+62.31</f>
        <v>315.23</v>
      </c>
      <c r="BE2" s="8">
        <v>40.0</v>
      </c>
      <c r="BF2" s="8">
        <v>1583.0</v>
      </c>
      <c r="BG2" s="8">
        <v>800.0</v>
      </c>
      <c r="BH2" s="8">
        <v>897.662</v>
      </c>
      <c r="BI2" s="8">
        <v>0.0</v>
      </c>
      <c r="BJ2" s="8">
        <v>5.0</v>
      </c>
      <c r="BK2" s="8">
        <v>3.0</v>
      </c>
      <c r="BL2" s="8">
        <v>300.0</v>
      </c>
      <c r="BM2" s="8">
        <f>359</f>
        <v>359</v>
      </c>
      <c r="BN2" s="8">
        <v>50.0</v>
      </c>
      <c r="BO2" s="8">
        <v>3.0</v>
      </c>
      <c r="BP2" s="8">
        <v>0.2</v>
      </c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BP3" s="8">
        <v>0.1</v>
      </c>
    </row>
    <row r="4" ht="14.2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BP4" s="8">
        <v>0.5</v>
      </c>
    </row>
    <row r="5" ht="14.25" customHeight="1">
      <c r="D5" s="6"/>
      <c r="H5" s="6"/>
      <c r="I5" s="6"/>
      <c r="BP5" s="8">
        <v>10.0</v>
      </c>
    </row>
    <row r="6" ht="14.25" customHeight="1"/>
    <row r="7" ht="14.25" customHeight="1"/>
    <row r="8" ht="14.25" customHeight="1"/>
    <row r="9" ht="14.25" customHeight="1">
      <c r="Y9" s="10">
        <v>730.0</v>
      </c>
      <c r="Z9" s="10">
        <v>12.26085</v>
      </c>
      <c r="AA9" s="10">
        <v>2.19194</v>
      </c>
      <c r="AC9" s="8">
        <f>AA9/Z9</f>
        <v>0.1787755335</v>
      </c>
      <c r="AD9" s="10">
        <v>17.0</v>
      </c>
      <c r="AE9" s="8">
        <f>2*(130.6117+14.23463)</f>
        <v>289.69266</v>
      </c>
      <c r="AF9" s="8">
        <f>AVERAGE(AG9:AH9)</f>
        <v>39.1335</v>
      </c>
      <c r="AG9" s="10">
        <v>36.552</v>
      </c>
      <c r="AH9" s="10">
        <v>41.715</v>
      </c>
      <c r="AJ9" s="10">
        <v>170.0</v>
      </c>
      <c r="AK9" s="10">
        <v>30.0</v>
      </c>
      <c r="AL9" s="10">
        <v>1.93727</v>
      </c>
      <c r="AM9" s="8">
        <f>28.406235*2</f>
        <v>56.81247</v>
      </c>
      <c r="AN9" s="10">
        <v>150.0</v>
      </c>
      <c r="AO9" s="10">
        <v>25.30769</v>
      </c>
      <c r="AP9" s="10">
        <v>0.70649</v>
      </c>
      <c r="AX9" s="10">
        <v>4.0</v>
      </c>
      <c r="AY9" s="10">
        <v>2.0</v>
      </c>
      <c r="BG9" s="10">
        <v>890.0</v>
      </c>
      <c r="BH9" s="10">
        <v>0.0</v>
      </c>
    </row>
    <row r="10" ht="14.25" customHeight="1"/>
    <row r="11" ht="14.25" customHeight="1"/>
    <row r="12" ht="14.25" customHeight="1"/>
    <row r="13" ht="14.25" customHeight="1"/>
    <row r="14" ht="14.25" customHeight="1">
      <c r="AF14" s="10" t="s">
        <v>68</v>
      </c>
      <c r="AG14" s="10" t="s">
        <v>69</v>
      </c>
      <c r="AH14" s="10" t="s">
        <v>70</v>
      </c>
      <c r="AI14" s="10" t="s">
        <v>71</v>
      </c>
    </row>
    <row r="15" ht="14.25" customHeight="1">
      <c r="AB15" s="10" t="s">
        <v>72</v>
      </c>
      <c r="AC15" s="10">
        <v>0.723</v>
      </c>
      <c r="AE15" s="10" t="s">
        <v>73</v>
      </c>
      <c r="AF15" s="8">
        <f t="shared" ref="AF15:AI15" si="1">0.5*(AF17+AF18)*AF16</f>
        <v>130.6117002</v>
      </c>
      <c r="AG15" s="8">
        <f t="shared" si="1"/>
        <v>14.2346309</v>
      </c>
      <c r="AH15" s="8">
        <f t="shared" si="1"/>
        <v>28.406235</v>
      </c>
      <c r="AI15" s="8">
        <f t="shared" si="1"/>
        <v>25.02504375</v>
      </c>
    </row>
    <row r="16" ht="14.25" customHeight="1">
      <c r="AB16" s="10" t="s">
        <v>74</v>
      </c>
      <c r="AC16" s="10">
        <v>0.35</v>
      </c>
      <c r="AE16" s="10" t="s">
        <v>75</v>
      </c>
      <c r="AF16" s="10">
        <v>21.678</v>
      </c>
      <c r="AG16" s="10">
        <v>10.391</v>
      </c>
      <c r="AH16" s="8">
        <f>11.44-2.86</f>
        <v>8.58</v>
      </c>
      <c r="AI16" s="8">
        <f>11.078-2.3704</f>
        <v>8.7076</v>
      </c>
    </row>
    <row r="17" ht="14.25" customHeight="1">
      <c r="AB17" s="10" t="s">
        <v>76</v>
      </c>
      <c r="AC17" s="10">
        <v>0.5</v>
      </c>
      <c r="AE17" s="10" t="s">
        <v>77</v>
      </c>
      <c r="AF17" s="8">
        <f>5.71489*AC15</f>
        <v>4.13186547</v>
      </c>
      <c r="AG17" s="8">
        <f>2.897*AC16</f>
        <v>1.01395</v>
      </c>
      <c r="AH17" s="10">
        <f>4.88*AC17</f>
        <v>2.44</v>
      </c>
      <c r="AI17" s="8">
        <f>9.773*AC18</f>
        <v>2.44325</v>
      </c>
    </row>
    <row r="18" ht="14.25" customHeight="1">
      <c r="AB18" s="10" t="s">
        <v>78</v>
      </c>
      <c r="AC18" s="10">
        <v>0.25</v>
      </c>
      <c r="AE18" s="10" t="s">
        <v>79</v>
      </c>
      <c r="AF18" s="8">
        <f>10.952*AC15</f>
        <v>7.918296</v>
      </c>
      <c r="AG18" s="8">
        <f>4.931*AC16</f>
        <v>1.72585</v>
      </c>
      <c r="AH18" s="10">
        <f>8.363*AC17</f>
        <v>4.1815</v>
      </c>
      <c r="AI18" s="8">
        <f>13.21845*AC18</f>
        <v>3.3046125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Bryan Tiang Jang Yit</dc:creator>
</cp:coreProperties>
</file>