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m78\OneDrive\바탕 화면\"/>
    </mc:Choice>
  </mc:AlternateContent>
  <xr:revisionPtr revIDLastSave="0" documentId="13_ncr:1_{0D2C32E6-0FD7-49A1-8CD5-76D0108E3039}" xr6:coauthVersionLast="47" xr6:coauthVersionMax="47" xr10:uidLastSave="{00000000-0000-0000-0000-000000000000}"/>
  <bookViews>
    <workbookView xWindow="28680" yWindow="-120" windowWidth="29040" windowHeight="15840" xr2:uid="{1F744409-F7E4-41F8-9437-9CB81D47E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0" i="1"/>
  <c r="I217" i="1"/>
  <c r="M212" i="1"/>
  <c r="M213" i="1" s="1"/>
  <c r="M211" i="1"/>
  <c r="I180" i="1"/>
  <c r="M177" i="1"/>
  <c r="M176" i="1"/>
  <c r="M175" i="1"/>
  <c r="K126" i="1"/>
  <c r="I146" i="1" l="1"/>
  <c r="M142" i="1"/>
  <c r="K131" i="1"/>
  <c r="K132" i="1"/>
  <c r="K133" i="1"/>
  <c r="K134" i="1"/>
  <c r="K135" i="1"/>
  <c r="K136" i="1"/>
  <c r="K137" i="1"/>
  <c r="K138" i="1"/>
  <c r="K139" i="1"/>
  <c r="K140" i="1"/>
  <c r="K130" i="1"/>
  <c r="F80" i="1"/>
  <c r="I110" i="1"/>
  <c r="M106" i="1"/>
  <c r="K95" i="1"/>
  <c r="K94" i="1"/>
  <c r="K104" i="1"/>
  <c r="K103" i="1"/>
  <c r="K96" i="1"/>
  <c r="K97" i="1"/>
  <c r="K98" i="1"/>
  <c r="K99" i="1"/>
  <c r="K100" i="1"/>
  <c r="K101" i="1"/>
  <c r="K102" i="1"/>
  <c r="D85" i="1"/>
  <c r="C84" i="1"/>
  <c r="C83" i="1"/>
  <c r="C82" i="1"/>
  <c r="F79" i="1"/>
  <c r="F78" i="1"/>
  <c r="E66" i="1"/>
  <c r="E65" i="1"/>
  <c r="E64" i="1"/>
  <c r="E63" i="1"/>
  <c r="E62" i="1"/>
  <c r="E61" i="1"/>
  <c r="I59" i="1"/>
  <c r="F56" i="1"/>
  <c r="F54" i="1"/>
  <c r="E55" i="1"/>
  <c r="E54" i="1"/>
  <c r="G51" i="1"/>
  <c r="F51" i="1"/>
  <c r="E51" i="1"/>
  <c r="G61" i="1"/>
  <c r="E70" i="1" s="1"/>
  <c r="D71" i="1"/>
  <c r="D72" i="1"/>
  <c r="E71" i="1"/>
  <c r="F71" i="1" s="1"/>
  <c r="K51" i="1"/>
  <c r="L51" i="1"/>
  <c r="J51" i="1"/>
  <c r="I51" i="1"/>
  <c r="I50" i="1"/>
  <c r="G59" i="1" s="1"/>
  <c r="I49" i="1"/>
  <c r="G58" i="1" s="1"/>
  <c r="I48" i="1"/>
  <c r="I47" i="1"/>
  <c r="I46" i="1"/>
  <c r="I45" i="1"/>
  <c r="E50" i="1"/>
  <c r="E9" i="1"/>
  <c r="C18" i="1" s="1"/>
  <c r="E8" i="1"/>
  <c r="F70" i="1" l="1"/>
  <c r="E72" i="1"/>
  <c r="G57" i="1"/>
  <c r="C16" i="1"/>
  <c r="C17" i="1"/>
  <c r="G54" i="1"/>
  <c r="G56" i="1"/>
  <c r="E56" i="1"/>
  <c r="F55" i="1"/>
  <c r="G55" i="1"/>
  <c r="F58" i="1"/>
  <c r="E57" i="1"/>
  <c r="E59" i="1"/>
  <c r="F57" i="1"/>
  <c r="E58" i="1"/>
  <c r="F59" i="1"/>
  <c r="L179" i="1"/>
  <c r="E184" i="1"/>
  <c r="D196" i="1" s="1"/>
  <c r="L185" i="1"/>
  <c r="L186" i="1"/>
  <c r="L187" i="1"/>
  <c r="L188" i="1"/>
  <c r="L189" i="1"/>
  <c r="L190" i="1"/>
  <c r="L191" i="1"/>
  <c r="L192" i="1"/>
  <c r="L193" i="1"/>
  <c r="L184" i="1"/>
  <c r="E149" i="1"/>
  <c r="C179" i="1" s="1"/>
  <c r="E148" i="1"/>
  <c r="C152" i="1" s="1"/>
  <c r="F114" i="1"/>
  <c r="C146" i="1" s="1"/>
  <c r="F113" i="1"/>
  <c r="C122" i="1" s="1"/>
  <c r="D83" i="1"/>
  <c r="C88" i="1"/>
  <c r="D69" i="1"/>
  <c r="F50" i="1"/>
  <c r="G50" i="1"/>
  <c r="D25" i="1"/>
  <c r="F8" i="1"/>
  <c r="G8" i="1"/>
  <c r="H8" i="1"/>
  <c r="F9" i="1"/>
  <c r="G9" i="1"/>
  <c r="H9" i="1"/>
  <c r="C109" i="1" l="1"/>
  <c r="E52" i="1"/>
  <c r="E69" i="1" s="1"/>
  <c r="F69" i="1" s="1"/>
  <c r="C101" i="1"/>
  <c r="C144" i="1"/>
  <c r="C145" i="1"/>
  <c r="C143" i="1"/>
  <c r="C119" i="1"/>
  <c r="I119" i="1" s="1"/>
  <c r="D159" i="1"/>
  <c r="C175" i="1"/>
  <c r="E20" i="1"/>
  <c r="E18" i="1"/>
  <c r="E16" i="1"/>
  <c r="D20" i="1"/>
  <c r="D21" i="1"/>
  <c r="D16" i="1"/>
  <c r="H21" i="1" s="1"/>
  <c r="D18" i="1"/>
  <c r="D158" i="1"/>
  <c r="D127" i="1"/>
  <c r="D156" i="1"/>
  <c r="C174" i="1"/>
  <c r="C142" i="1"/>
  <c r="C141" i="1"/>
  <c r="G12" i="1"/>
  <c r="C178" i="1"/>
  <c r="F12" i="1"/>
  <c r="C118" i="1"/>
  <c r="I118" i="1" s="1"/>
  <c r="C177" i="1"/>
  <c r="D117" i="1"/>
  <c r="D126" i="1"/>
  <c r="D155" i="1"/>
  <c r="C209" i="1"/>
  <c r="C120" i="1"/>
  <c r="I120" i="1" s="1"/>
  <c r="C207" i="1"/>
  <c r="C206" i="1"/>
  <c r="L216" i="1"/>
  <c r="C136" i="1"/>
  <c r="F19" i="1"/>
  <c r="F18" i="1"/>
  <c r="F17" i="1"/>
  <c r="F16" i="1"/>
  <c r="F20" i="1"/>
  <c r="C121" i="1"/>
  <c r="I121" i="1" s="1"/>
  <c r="H12" i="1"/>
  <c r="D125" i="1"/>
  <c r="D120" i="1"/>
  <c r="F120" i="1" s="1"/>
  <c r="D118" i="1"/>
  <c r="I152" i="1"/>
  <c r="D26" i="1"/>
  <c r="D27" i="1" s="1"/>
  <c r="D157" i="1"/>
  <c r="C176" i="1"/>
  <c r="C161" i="1"/>
  <c r="C110" i="1"/>
  <c r="C160" i="1"/>
  <c r="D154" i="1"/>
  <c r="C173" i="1"/>
  <c r="C159" i="1"/>
  <c r="D153" i="1"/>
  <c r="C172" i="1"/>
  <c r="C108" i="1"/>
  <c r="C158" i="1"/>
  <c r="C171" i="1"/>
  <c r="D82" i="1"/>
  <c r="C107" i="1"/>
  <c r="D124" i="1"/>
  <c r="C140" i="1"/>
  <c r="C157" i="1"/>
  <c r="C205" i="1"/>
  <c r="C19" i="1"/>
  <c r="D92" i="1"/>
  <c r="C106" i="1"/>
  <c r="C117" i="1"/>
  <c r="I117" i="1" s="1"/>
  <c r="D123" i="1"/>
  <c r="C139" i="1"/>
  <c r="C156" i="1"/>
  <c r="C214" i="1"/>
  <c r="C105" i="1"/>
  <c r="C127" i="1"/>
  <c r="I127" i="1" s="1"/>
  <c r="D122" i="1"/>
  <c r="F122" i="1" s="1"/>
  <c r="C138" i="1"/>
  <c r="C155" i="1"/>
  <c r="C213" i="1"/>
  <c r="D19" i="1"/>
  <c r="I88" i="1"/>
  <c r="C104" i="1"/>
  <c r="C126" i="1"/>
  <c r="D121" i="1"/>
  <c r="C137" i="1"/>
  <c r="C154" i="1"/>
  <c r="E183" i="1"/>
  <c r="C195" i="1" s="1"/>
  <c r="C212" i="1"/>
  <c r="C20" i="1"/>
  <c r="C103" i="1"/>
  <c r="C125" i="1"/>
  <c r="I125" i="1" s="1"/>
  <c r="C153" i="1"/>
  <c r="C211" i="1"/>
  <c r="E17" i="1"/>
  <c r="C102" i="1"/>
  <c r="C124" i="1"/>
  <c r="D119" i="1"/>
  <c r="F119" i="1" s="1"/>
  <c r="D152" i="1"/>
  <c r="F152" i="1" s="1"/>
  <c r="C210" i="1"/>
  <c r="C21" i="1"/>
  <c r="C111" i="1"/>
  <c r="C123" i="1"/>
  <c r="I123" i="1" s="1"/>
  <c r="D161" i="1"/>
  <c r="C170" i="1"/>
  <c r="D160" i="1"/>
  <c r="C208" i="1"/>
  <c r="J195" i="1"/>
  <c r="D195" i="1"/>
  <c r="D193" i="1"/>
  <c r="D191" i="1"/>
  <c r="D192" i="1"/>
  <c r="D189" i="1"/>
  <c r="D188" i="1"/>
  <c r="D190" i="1"/>
  <c r="D187" i="1"/>
  <c r="D194" i="1"/>
  <c r="I122" i="1"/>
  <c r="C85" i="1"/>
  <c r="C87" i="1"/>
  <c r="D91" i="1"/>
  <c r="D90" i="1"/>
  <c r="D89" i="1"/>
  <c r="D17" i="1"/>
  <c r="D88" i="1"/>
  <c r="F88" i="1" s="1"/>
  <c r="E21" i="1"/>
  <c r="C91" i="1"/>
  <c r="D86" i="1"/>
  <c r="C86" i="1"/>
  <c r="D87" i="1"/>
  <c r="C90" i="1"/>
  <c r="E19" i="1"/>
  <c r="C89" i="1"/>
  <c r="D84" i="1"/>
  <c r="C92" i="1"/>
  <c r="K12" i="1" l="1"/>
  <c r="C196" i="1"/>
  <c r="C188" i="1"/>
  <c r="C189" i="1"/>
  <c r="J189" i="1" s="1"/>
  <c r="C192" i="1"/>
  <c r="F192" i="1" s="1"/>
  <c r="C191" i="1"/>
  <c r="C193" i="1"/>
  <c r="F127" i="1"/>
  <c r="F123" i="1"/>
  <c r="C190" i="1"/>
  <c r="I142" i="1"/>
  <c r="C187" i="1"/>
  <c r="F187" i="1" s="1"/>
  <c r="F125" i="1"/>
  <c r="F121" i="1"/>
  <c r="I213" i="1"/>
  <c r="F117" i="1"/>
  <c r="I106" i="1"/>
  <c r="F118" i="1"/>
  <c r="F195" i="1"/>
  <c r="F124" i="1"/>
  <c r="I124" i="1"/>
  <c r="I86" i="1"/>
  <c r="F86" i="1"/>
  <c r="F92" i="1"/>
  <c r="I92" i="1"/>
  <c r="F157" i="1"/>
  <c r="I157" i="1"/>
  <c r="I153" i="1"/>
  <c r="F153" i="1"/>
  <c r="F126" i="1"/>
  <c r="I126" i="1"/>
  <c r="E130" i="1" s="1"/>
  <c r="F91" i="1"/>
  <c r="I91" i="1"/>
  <c r="I176" i="1"/>
  <c r="F89" i="1"/>
  <c r="I89" i="1"/>
  <c r="F82" i="1"/>
  <c r="I82" i="1"/>
  <c r="F90" i="1"/>
  <c r="I90" i="1"/>
  <c r="I84" i="1"/>
  <c r="F84" i="1"/>
  <c r="I85" i="1"/>
  <c r="F85" i="1"/>
  <c r="F87" i="1"/>
  <c r="I87" i="1"/>
  <c r="I83" i="1"/>
  <c r="F83" i="1"/>
  <c r="F155" i="1"/>
  <c r="I155" i="1"/>
  <c r="F156" i="1"/>
  <c r="I156" i="1"/>
  <c r="F154" i="1"/>
  <c r="I154" i="1"/>
  <c r="F158" i="1"/>
  <c r="I158" i="1"/>
  <c r="E26" i="1"/>
  <c r="F159" i="1"/>
  <c r="I159" i="1"/>
  <c r="F160" i="1"/>
  <c r="I160" i="1"/>
  <c r="F161" i="1"/>
  <c r="I161" i="1"/>
  <c r="C194" i="1"/>
  <c r="F194" i="1" s="1"/>
  <c r="J192" i="1"/>
  <c r="F196" i="1"/>
  <c r="J196" i="1"/>
  <c r="J188" i="1"/>
  <c r="F188" i="1"/>
  <c r="F190" i="1"/>
  <c r="J190" i="1"/>
  <c r="F191" i="1"/>
  <c r="J191" i="1"/>
  <c r="F193" i="1"/>
  <c r="J193" i="1"/>
  <c r="E25" i="1"/>
  <c r="F25" i="1" s="1"/>
  <c r="F189" i="1" l="1"/>
  <c r="J194" i="1"/>
  <c r="E129" i="1"/>
  <c r="E132" i="1" s="1"/>
  <c r="E163" i="1"/>
  <c r="E164" i="1"/>
  <c r="E27" i="1"/>
  <c r="F26" i="1"/>
  <c r="G32" i="1" s="1"/>
  <c r="F36" i="1" s="1"/>
  <c r="G25" i="1"/>
  <c r="H25" i="1" s="1"/>
  <c r="J187" i="1"/>
  <c r="E199" i="1" s="1"/>
  <c r="F34" i="1"/>
  <c r="F38" i="1"/>
  <c r="E39" i="1"/>
  <c r="E133" i="1"/>
  <c r="E139" i="1" s="1"/>
  <c r="E95" i="1"/>
  <c r="E94" i="1"/>
  <c r="E97" i="1" s="1"/>
  <c r="E198" i="1"/>
  <c r="G69" i="1" l="1"/>
  <c r="H69" i="1" s="1"/>
  <c r="G70" i="1"/>
  <c r="H70" i="1" s="1"/>
  <c r="E142" i="1"/>
  <c r="E143" i="1"/>
  <c r="F35" i="1"/>
  <c r="E144" i="1"/>
  <c r="F37" i="1"/>
  <c r="F39" i="1"/>
  <c r="E35" i="1"/>
  <c r="E36" i="1"/>
  <c r="E38" i="1"/>
  <c r="E34" i="1"/>
  <c r="E166" i="1"/>
  <c r="E167" i="1" s="1"/>
  <c r="E137" i="1"/>
  <c r="E37" i="1"/>
  <c r="E136" i="1"/>
  <c r="E146" i="1"/>
  <c r="E138" i="1"/>
  <c r="E141" i="1"/>
  <c r="E145" i="1"/>
  <c r="E140" i="1"/>
  <c r="E98" i="1"/>
  <c r="E106" i="1" s="1"/>
  <c r="E201" i="1"/>
  <c r="E202" i="1" s="1"/>
  <c r="E108" i="1" l="1"/>
  <c r="E107" i="1"/>
  <c r="E173" i="1"/>
  <c r="E174" i="1"/>
  <c r="E175" i="1"/>
  <c r="E176" i="1"/>
  <c r="E172" i="1"/>
  <c r="E170" i="1"/>
  <c r="E177" i="1"/>
  <c r="E178" i="1"/>
  <c r="E179" i="1"/>
  <c r="E171" i="1"/>
  <c r="E104" i="1"/>
  <c r="E103" i="1"/>
  <c r="E102" i="1"/>
  <c r="E110" i="1"/>
  <c r="E101" i="1"/>
  <c r="E206" i="1"/>
  <c r="E207" i="1"/>
  <c r="E214" i="1"/>
  <c r="E208" i="1"/>
  <c r="E209" i="1"/>
  <c r="E210" i="1"/>
  <c r="E211" i="1"/>
  <c r="E212" i="1"/>
  <c r="E213" i="1"/>
  <c r="E205" i="1"/>
  <c r="E111" i="1"/>
  <c r="E109" i="1"/>
  <c r="E105" i="1"/>
  <c r="I143" i="1"/>
  <c r="I145" i="1" s="1"/>
  <c r="I177" i="1" l="1"/>
  <c r="I179" i="1" s="1"/>
  <c r="I214" i="1"/>
  <c r="I216" i="1" s="1"/>
  <c r="I107" i="1"/>
  <c r="I109" i="1" s="1"/>
</calcChain>
</file>

<file path=xl/sharedStrings.xml><?xml version="1.0" encoding="utf-8"?>
<sst xmlns="http://schemas.openxmlformats.org/spreadsheetml/2006/main" count="183" uniqueCount="96">
  <si>
    <t>Q1</t>
    <phoneticPr fontId="1" type="noConversion"/>
  </si>
  <si>
    <t>H_0 : mu1 = mu2 = mu3 = mu4</t>
    <phoneticPr fontId="1" type="noConversion"/>
  </si>
  <si>
    <t>H_A : H_0 is not True</t>
    <phoneticPr fontId="1" type="noConversion"/>
  </si>
  <si>
    <t>DF</t>
    <phoneticPr fontId="1" type="noConversion"/>
  </si>
  <si>
    <t>SS</t>
    <phoneticPr fontId="1" type="noConversion"/>
  </si>
  <si>
    <t>MS</t>
    <phoneticPr fontId="1" type="noConversion"/>
  </si>
  <si>
    <t>F</t>
    <phoneticPr fontId="1" type="noConversion"/>
  </si>
  <si>
    <t>p-value</t>
    <phoneticPr fontId="1" type="noConversion"/>
  </si>
  <si>
    <t>Treatment</t>
    <phoneticPr fontId="1" type="noConversion"/>
  </si>
  <si>
    <t>Error</t>
    <phoneticPr fontId="1" type="noConversion"/>
  </si>
  <si>
    <t>Total</t>
    <phoneticPr fontId="1" type="noConversion"/>
  </si>
  <si>
    <t>(a)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</si>
  <si>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</si>
  <si>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</si>
  <si>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</si>
  <si>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</si>
  <si>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Samplesize</t>
    <phoneticPr fontId="1" type="noConversion"/>
  </si>
  <si>
    <t>sample mean</t>
    <phoneticPr fontId="1" type="noConversion"/>
  </si>
  <si>
    <t>SSTr</t>
    <phoneticPr fontId="1" type="noConversion"/>
  </si>
  <si>
    <t>overmean</t>
    <phoneticPr fontId="1" type="noConversion"/>
  </si>
  <si>
    <t>thus,</t>
    <phoneticPr fontId="1" type="noConversion"/>
  </si>
  <si>
    <t>SSE</t>
    <phoneticPr fontId="1" type="noConversion"/>
  </si>
  <si>
    <t>Thus</t>
    <phoneticPr fontId="1" type="noConversion"/>
  </si>
  <si>
    <t>alpha &gt; p-value</t>
    <phoneticPr fontId="1" type="noConversion"/>
  </si>
  <si>
    <t>thus, at least one of the treatments mean is different</t>
    <phoneticPr fontId="1" type="noConversion"/>
  </si>
  <si>
    <t>(b)</t>
    <phoneticPr fontId="1" type="noConversion"/>
  </si>
  <si>
    <t>alpha</t>
    <phoneticPr fontId="1" type="noConversion"/>
  </si>
  <si>
    <t>k</t>
    <phoneticPr fontId="1" type="noConversion"/>
  </si>
  <si>
    <t>v</t>
    <phoneticPr fontId="1" type="noConversion"/>
  </si>
  <si>
    <t>sigma</t>
    <phoneticPr fontId="1" type="noConversion"/>
  </si>
  <si>
    <t>q_0.05,4,19</t>
    <phoneticPr fontId="1" type="noConversion"/>
  </si>
  <si>
    <t>mu1 - mu2</t>
    <phoneticPr fontId="1" type="noConversion"/>
  </si>
  <si>
    <t>mu1 - mu3</t>
    <phoneticPr fontId="1" type="noConversion"/>
  </si>
  <si>
    <t>mu1 - mu4</t>
    <phoneticPr fontId="1" type="noConversion"/>
  </si>
  <si>
    <t>mu2 - mu3</t>
    <phoneticPr fontId="1" type="noConversion"/>
  </si>
  <si>
    <t>mu2 - mu4</t>
    <phoneticPr fontId="1" type="noConversion"/>
  </si>
  <si>
    <t>mu3 - mu4</t>
    <phoneticPr fontId="1" type="noConversion"/>
  </si>
  <si>
    <t>mu1 = mu3?</t>
    <phoneticPr fontId="1" type="noConversion"/>
  </si>
  <si>
    <t>mu1 = mu2?</t>
    <phoneticPr fontId="1" type="noConversion"/>
  </si>
  <si>
    <t>mu1 &lt; mu4</t>
    <phoneticPr fontId="1" type="noConversion"/>
  </si>
  <si>
    <t>mu2 = mu3?</t>
    <phoneticPr fontId="1" type="noConversion"/>
  </si>
  <si>
    <t>mu2 = mu4?</t>
    <phoneticPr fontId="1" type="noConversion"/>
  </si>
  <si>
    <t>mu3 &lt; mu4</t>
    <phoneticPr fontId="1" type="noConversion"/>
  </si>
  <si>
    <t>mu4 has the hightest population means</t>
    <phoneticPr fontId="1" type="noConversion"/>
  </si>
  <si>
    <t>Q2</t>
    <phoneticPr fontId="1" type="noConversion"/>
  </si>
  <si>
    <t>Q3</t>
    <phoneticPr fontId="1" type="noConversion"/>
  </si>
  <si>
    <t>Weight</t>
    <phoneticPr fontId="1" type="noConversion"/>
  </si>
  <si>
    <t>Score</t>
    <phoneticPr fontId="1" type="noConversion"/>
  </si>
  <si>
    <t>x_bar</t>
    <phoneticPr fontId="1" type="noConversion"/>
  </si>
  <si>
    <t>y_bar</t>
    <phoneticPr fontId="1" type="noConversion"/>
  </si>
  <si>
    <t>x_i - x_bar</t>
    <phoneticPr fontId="1" type="noConversion"/>
  </si>
  <si>
    <t>y_i-y_bar</t>
    <phoneticPr fontId="1" type="noConversion"/>
  </si>
  <si>
    <t>S_XY</t>
    <phoneticPr fontId="1" type="noConversion"/>
  </si>
  <si>
    <t>(x_i - x_bar) * (y_i - y_bar)</t>
    <phoneticPr fontId="1" type="noConversion"/>
  </si>
  <si>
    <t xml:space="preserve">S_XX </t>
    <phoneticPr fontId="1" type="noConversion"/>
  </si>
  <si>
    <t>(x_i - x_bar)^2</t>
    <phoneticPr fontId="1" type="noConversion"/>
  </si>
  <si>
    <t>beta_hat_1</t>
    <phoneticPr fontId="1" type="noConversion"/>
  </si>
  <si>
    <t>beta_hat_0</t>
    <phoneticPr fontId="1" type="noConversion"/>
  </si>
  <si>
    <t>(y_i - y_bar)^2</t>
    <phoneticPr fontId="1" type="noConversion"/>
  </si>
  <si>
    <t>(y_hat_i-y_bar)^2</t>
    <phoneticPr fontId="1" type="noConversion"/>
  </si>
  <si>
    <t>SST</t>
    <phoneticPr fontId="1" type="noConversion"/>
  </si>
  <si>
    <t>SSR</t>
    <phoneticPr fontId="1" type="noConversion"/>
  </si>
  <si>
    <t>R-squared</t>
    <phoneticPr fontId="1" type="noConversion"/>
  </si>
  <si>
    <t>x</t>
    <phoneticPr fontId="1" type="noConversion"/>
  </si>
  <si>
    <t>y</t>
    <phoneticPr fontId="1" type="noConversion"/>
  </si>
  <si>
    <t>Q4</t>
    <phoneticPr fontId="1" type="noConversion"/>
  </si>
  <si>
    <t>Let x^2 = z</t>
    <phoneticPr fontId="1" type="noConversion"/>
  </si>
  <si>
    <t>z_bar</t>
    <phoneticPr fontId="1" type="noConversion"/>
  </si>
  <si>
    <t>x^2(=z)</t>
    <phoneticPr fontId="1" type="noConversion"/>
  </si>
  <si>
    <t>z_i-z_bar</t>
    <phoneticPr fontId="1" type="noConversion"/>
  </si>
  <si>
    <t>(z_i - z_bar) * (y_i - y_bar)</t>
    <phoneticPr fontId="1" type="noConversion"/>
  </si>
  <si>
    <t>(z_i - z_bar)^2</t>
    <phoneticPr fontId="1" type="noConversion"/>
  </si>
  <si>
    <t>S_ZY</t>
    <phoneticPr fontId="1" type="noConversion"/>
  </si>
  <si>
    <t>S_ZZ</t>
    <phoneticPr fontId="1" type="noConversion"/>
  </si>
  <si>
    <t>R-squared_2 &gt; R-squared_1</t>
    <phoneticPr fontId="1" type="noConversion"/>
  </si>
  <si>
    <t>정답확인</t>
    <phoneticPr fontId="1" type="noConversion"/>
  </si>
  <si>
    <t>mu1</t>
    <phoneticPr fontId="1" type="noConversion"/>
  </si>
  <si>
    <t>mu3</t>
    <phoneticPr fontId="1" type="noConversion"/>
  </si>
  <si>
    <t>mu2</t>
    <phoneticPr fontId="1" type="noConversion"/>
  </si>
  <si>
    <t>mu4</t>
    <phoneticPr fontId="1" type="noConversion"/>
  </si>
  <si>
    <t>alpha = 0.05</t>
    <phoneticPr fontId="1" type="noConversion"/>
  </si>
  <si>
    <t>f_i is factor effects</t>
    <phoneticPr fontId="1" type="noConversion"/>
  </si>
  <si>
    <t>x_ij = mu + f_i + b_i</t>
    <phoneticPr fontId="1" type="noConversion"/>
  </si>
  <si>
    <t>b_i is block effects</t>
    <phoneticPr fontId="1" type="noConversion"/>
  </si>
  <si>
    <t>Blocks</t>
    <phoneticPr fontId="1" type="noConversion"/>
  </si>
  <si>
    <t>SSBI</t>
    <phoneticPr fontId="1" type="noConversion"/>
  </si>
  <si>
    <t>Blocksize</t>
    <phoneticPr fontId="1" type="noConversion"/>
  </si>
  <si>
    <t>H_0 : f_1 = f_2 = f_3 (f_i is factor effects)</t>
    <phoneticPr fontId="1" type="noConversion"/>
  </si>
  <si>
    <t>Treatments'  p-value &gt; alpha, thus null hypothesis accepted</t>
    <phoneticPr fontId="1" type="noConversion"/>
  </si>
  <si>
    <t>(y_i - beta0 - beta1 * x_i)^2</t>
    <phoneticPr fontId="1" type="noConversion"/>
  </si>
  <si>
    <t>n</t>
    <phoneticPr fontId="1" type="noConversion"/>
  </si>
  <si>
    <t>Error variance</t>
    <phoneticPr fontId="1" type="noConversion"/>
  </si>
  <si>
    <t>S_YY</t>
    <phoneticPr fontId="1" type="noConversion"/>
  </si>
  <si>
    <t>r</t>
    <phoneticPr fontId="1" type="noConversion"/>
  </si>
  <si>
    <t>r^2</t>
    <phoneticPr fontId="1" type="noConversion"/>
  </si>
  <si>
    <t>Second model better describes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</si>
</sst>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5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3" xfId="1" applyBorder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0" xfId="1" applyBorder="1"/>
    <xf numFmtId="0" fontId="0" fillId="0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2" fillId="4" borderId="10" xfId="1" applyFill="1" applyBorder="1" applyAlignment="1">
      <alignment vertical="center"/>
    </xf>
    <xf numFmtId="0" fontId="0" fillId="4" borderId="1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8" xfId="0" applyBorder="1" applyAlignment="1">
      <alignment horizontal="right" vertical="center"/>
    </xf>
    <xf numFmtId="0" fontId="4" fillId="0" borderId="8" xfId="0" applyFont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2" fillId="0" borderId="3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2" borderId="0" xfId="1" applyFill="1" applyBorder="1" applyAlignment="1">
      <alignment horizontal="center" vertical="center"/>
    </xf>
    <xf numFmtId="0" fontId="2" fillId="2" borderId="20" xfId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7" borderId="21" xfId="0" applyFont="1" applyFill="1" applyBorder="1">
      <alignment vertical="center"/>
    </xf>
    <xf numFmtId="0" fontId="0" fillId="0" borderId="22" xfId="0" applyBorder="1">
      <alignment vertical="center"/>
    </xf>
    <xf numFmtId="0" fontId="0" fillId="7" borderId="23" xfId="0" applyFill="1" applyBorder="1">
      <alignment vertical="center"/>
    </xf>
    <xf numFmtId="0" fontId="4" fillId="0" borderId="9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2" fillId="2" borderId="0" xfId="1" applyFill="1" applyBorder="1" applyAlignment="1">
      <alignment vertical="center"/>
    </xf>
    <xf numFmtId="0" fontId="2" fillId="2" borderId="20" xfId="1" applyFill="1" applyBorder="1" applyAlignment="1">
      <alignment vertical="center"/>
    </xf>
    <xf numFmtId="0" fontId="2" fillId="0" borderId="24" xfId="1" applyBorder="1"/>
    <xf numFmtId="0" fontId="0" fillId="0" borderId="3" xfId="0" applyBorder="1">
      <alignment vertical="center"/>
    </xf>
    <xf numFmtId="0" fontId="2" fillId="2" borderId="3" xfId="1" applyFill="1" applyBorder="1" applyAlignment="1">
      <alignment vertical="center"/>
    </xf>
    <xf numFmtId="0" fontId="2" fillId="2" borderId="25" xfId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8" borderId="10" xfId="0" applyFill="1" applyBorder="1">
      <alignment vertical="center"/>
    </xf>
    <xf numFmtId="0" fontId="2" fillId="8" borderId="10" xfId="1" applyFill="1" applyBorder="1" applyAlignment="1">
      <alignment vertical="center"/>
    </xf>
    <xf numFmtId="0" fontId="0" fillId="8" borderId="0" xfId="0" applyFill="1" applyBorder="1">
      <alignment vertical="center"/>
    </xf>
    <xf numFmtId="0" fontId="5" fillId="3" borderId="10" xfId="0" applyFont="1" applyFill="1" applyBorder="1">
      <alignment vertical="center"/>
    </xf>
    <xf numFmtId="0" fontId="3" fillId="3" borderId="4" xfId="2" applyFill="1" applyBorder="1">
      <alignment vertical="center"/>
    </xf>
    <xf numFmtId="0" fontId="3" fillId="3" borderId="6" xfId="2" applyFill="1" applyBorder="1">
      <alignment vertical="center"/>
    </xf>
    <xf numFmtId="0" fontId="0" fillId="3" borderId="5" xfId="0" applyFill="1" applyBorder="1">
      <alignment vertical="center"/>
    </xf>
    <xf numFmtId="0" fontId="0" fillId="8" borderId="8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6" xfId="0" applyBorder="1">
      <alignment vertical="center"/>
    </xf>
  </cellXfs>
  <cellStyles count="3">
    <cellStyle name="Normal 2" xfId="1" xr:uid="{BB99AB0F-DB7E-4895-A9C8-FFD012DA685F}"/>
    <cellStyle name="나쁨" xfId="2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Sheet1!$K$78:$K$88</c:f>
              <c:numCache>
                <c:formatCode>General</c:formatCode>
                <c:ptCount val="11"/>
                <c:pt idx="0">
                  <c:v>165</c:v>
                </c:pt>
                <c:pt idx="1">
                  <c:v>172</c:v>
                </c:pt>
                <c:pt idx="2">
                  <c:v>160</c:v>
                </c:pt>
                <c:pt idx="3">
                  <c:v>186</c:v>
                </c:pt>
                <c:pt idx="4">
                  <c:v>185</c:v>
                </c:pt>
                <c:pt idx="5">
                  <c:v>157</c:v>
                </c:pt>
                <c:pt idx="6">
                  <c:v>155</c:v>
                </c:pt>
                <c:pt idx="7">
                  <c:v>177</c:v>
                </c:pt>
                <c:pt idx="8">
                  <c:v>171</c:v>
                </c:pt>
                <c:pt idx="9">
                  <c:v>164</c:v>
                </c:pt>
                <c:pt idx="10">
                  <c:v>182</c:v>
                </c:pt>
              </c:numCache>
            </c:numRef>
          </c:xVal>
          <c:yVal>
            <c:numRef>
              <c:f>Sheet1!$L$78:$L$88</c:f>
              <c:numCache>
                <c:formatCode>General</c:formatCode>
                <c:ptCount val="11"/>
                <c:pt idx="0">
                  <c:v>96</c:v>
                </c:pt>
                <c:pt idx="1">
                  <c:v>92</c:v>
                </c:pt>
                <c:pt idx="2">
                  <c:v>88</c:v>
                </c:pt>
                <c:pt idx="3">
                  <c:v>74</c:v>
                </c:pt>
                <c:pt idx="4">
                  <c:v>90</c:v>
                </c:pt>
                <c:pt idx="5">
                  <c:v>65</c:v>
                </c:pt>
                <c:pt idx="6">
                  <c:v>78</c:v>
                </c:pt>
                <c:pt idx="7">
                  <c:v>85</c:v>
                </c:pt>
                <c:pt idx="8">
                  <c:v>82</c:v>
                </c:pt>
                <c:pt idx="9">
                  <c:v>80</c:v>
                </c:pt>
                <c:pt idx="10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D-44FF-B097-18EFB04CD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69407"/>
        <c:axId val="74469823"/>
      </c:scatterChart>
      <c:valAx>
        <c:axId val="74469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469823"/>
        <c:crosses val="autoZero"/>
        <c:crossBetween val="midCat"/>
      </c:valAx>
      <c:valAx>
        <c:axId val="74469823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46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Sheet1!$L$114:$L$124</c:f>
              <c:numCache>
                <c:formatCode>General</c:formatCode>
                <c:ptCount val="11"/>
                <c:pt idx="0">
                  <c:v>96</c:v>
                </c:pt>
                <c:pt idx="1">
                  <c:v>92</c:v>
                </c:pt>
                <c:pt idx="2">
                  <c:v>88</c:v>
                </c:pt>
                <c:pt idx="3">
                  <c:v>74</c:v>
                </c:pt>
                <c:pt idx="4">
                  <c:v>90</c:v>
                </c:pt>
                <c:pt idx="5">
                  <c:v>65</c:v>
                </c:pt>
                <c:pt idx="6">
                  <c:v>78</c:v>
                </c:pt>
                <c:pt idx="7">
                  <c:v>85</c:v>
                </c:pt>
                <c:pt idx="8">
                  <c:v>82</c:v>
                </c:pt>
                <c:pt idx="9">
                  <c:v>80</c:v>
                </c:pt>
                <c:pt idx="10">
                  <c:v>74</c:v>
                </c:pt>
              </c:numCache>
            </c:numRef>
          </c:xVal>
          <c:yVal>
            <c:numRef>
              <c:f>Sheet1!$K$114:$K$124</c:f>
              <c:numCache>
                <c:formatCode>General</c:formatCode>
                <c:ptCount val="11"/>
                <c:pt idx="0">
                  <c:v>165</c:v>
                </c:pt>
                <c:pt idx="1">
                  <c:v>172</c:v>
                </c:pt>
                <c:pt idx="2">
                  <c:v>160</c:v>
                </c:pt>
                <c:pt idx="3">
                  <c:v>186</c:v>
                </c:pt>
                <c:pt idx="4">
                  <c:v>185</c:v>
                </c:pt>
                <c:pt idx="5">
                  <c:v>157</c:v>
                </c:pt>
                <c:pt idx="6">
                  <c:v>155</c:v>
                </c:pt>
                <c:pt idx="7">
                  <c:v>177</c:v>
                </c:pt>
                <c:pt idx="8">
                  <c:v>171</c:v>
                </c:pt>
                <c:pt idx="9">
                  <c:v>164</c:v>
                </c:pt>
                <c:pt idx="10">
                  <c:v>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3-493F-9038-1ABFBC903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4207"/>
        <c:axId val="82431727"/>
      </c:scatterChart>
      <c:valAx>
        <c:axId val="82444207"/>
        <c:scaling>
          <c:orientation val="minMax"/>
          <c:min val="6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431727"/>
        <c:crosses val="autoZero"/>
        <c:crossBetween val="midCat"/>
      </c:valAx>
      <c:valAx>
        <c:axId val="8243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44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Sheet1!$L$150:$L$159</c:f>
              <c:numCache>
                <c:formatCode>General</c:formatCode>
                <c:ptCount val="10"/>
                <c:pt idx="0">
                  <c:v>22</c:v>
                </c:pt>
                <c:pt idx="1">
                  <c:v>20</c:v>
                </c:pt>
                <c:pt idx="2">
                  <c:v>15</c:v>
                </c:pt>
                <c:pt idx="3">
                  <c:v>14</c:v>
                </c:pt>
                <c:pt idx="4">
                  <c:v>10</c:v>
                </c:pt>
                <c:pt idx="5">
                  <c:v>12</c:v>
                </c:pt>
                <c:pt idx="6">
                  <c:v>18</c:v>
                </c:pt>
                <c:pt idx="7">
                  <c:v>21</c:v>
                </c:pt>
                <c:pt idx="8">
                  <c:v>25</c:v>
                </c:pt>
                <c:pt idx="9">
                  <c:v>15</c:v>
                </c:pt>
              </c:numCache>
            </c:numRef>
          </c:xVal>
          <c:yVal>
            <c:numRef>
              <c:f>Sheet1!$M$150:$M$159</c:f>
              <c:numCache>
                <c:formatCode>General</c:formatCode>
                <c:ptCount val="10"/>
                <c:pt idx="0">
                  <c:v>570</c:v>
                </c:pt>
                <c:pt idx="1">
                  <c:v>355</c:v>
                </c:pt>
                <c:pt idx="2">
                  <c:v>235</c:v>
                </c:pt>
                <c:pt idx="3">
                  <c:v>160</c:v>
                </c:pt>
                <c:pt idx="4">
                  <c:v>140</c:v>
                </c:pt>
                <c:pt idx="5">
                  <c:v>130</c:v>
                </c:pt>
                <c:pt idx="6">
                  <c:v>311</c:v>
                </c:pt>
                <c:pt idx="7">
                  <c:v>404</c:v>
                </c:pt>
                <c:pt idx="8">
                  <c:v>650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5-4AEF-A6FE-C8F619F88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991728"/>
        <c:axId val="867992144"/>
      </c:scatterChart>
      <c:valAx>
        <c:axId val="867991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7992144"/>
        <c:crosses val="autoZero"/>
        <c:crossBetween val="midCat"/>
      </c:valAx>
      <c:valAx>
        <c:axId val="8679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799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Sheet1!$L$184:$L$193</c:f>
              <c:numCache>
                <c:formatCode>General</c:formatCode>
                <c:ptCount val="10"/>
                <c:pt idx="0">
                  <c:v>484</c:v>
                </c:pt>
                <c:pt idx="1">
                  <c:v>400</c:v>
                </c:pt>
                <c:pt idx="2">
                  <c:v>225</c:v>
                </c:pt>
                <c:pt idx="3">
                  <c:v>196</c:v>
                </c:pt>
                <c:pt idx="4">
                  <c:v>100</c:v>
                </c:pt>
                <c:pt idx="5">
                  <c:v>144</c:v>
                </c:pt>
                <c:pt idx="6">
                  <c:v>324</c:v>
                </c:pt>
                <c:pt idx="7">
                  <c:v>441</c:v>
                </c:pt>
                <c:pt idx="8">
                  <c:v>625</c:v>
                </c:pt>
                <c:pt idx="9">
                  <c:v>225</c:v>
                </c:pt>
              </c:numCache>
            </c:numRef>
          </c:xVal>
          <c:yVal>
            <c:numRef>
              <c:f>Sheet1!$M$184:$M$193</c:f>
              <c:numCache>
                <c:formatCode>General</c:formatCode>
                <c:ptCount val="10"/>
                <c:pt idx="0">
                  <c:v>570</c:v>
                </c:pt>
                <c:pt idx="1">
                  <c:v>355</c:v>
                </c:pt>
                <c:pt idx="2">
                  <c:v>235</c:v>
                </c:pt>
                <c:pt idx="3">
                  <c:v>160</c:v>
                </c:pt>
                <c:pt idx="4">
                  <c:v>140</c:v>
                </c:pt>
                <c:pt idx="5">
                  <c:v>130</c:v>
                </c:pt>
                <c:pt idx="6">
                  <c:v>311</c:v>
                </c:pt>
                <c:pt idx="7">
                  <c:v>404</c:v>
                </c:pt>
                <c:pt idx="8">
                  <c:v>650</c:v>
                </c:pt>
                <c:pt idx="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C-446F-9EA7-1AA52219C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219856"/>
        <c:axId val="890226928"/>
      </c:scatterChart>
      <c:valAx>
        <c:axId val="89021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0226928"/>
        <c:crosses val="autoZero"/>
        <c:crossBetween val="midCat"/>
      </c:valAx>
      <c:valAx>
        <c:axId val="89022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902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92</xdr:row>
      <xdr:rowOff>9526</xdr:rowOff>
    </xdr:from>
    <xdr:to>
      <xdr:col>9</xdr:col>
      <xdr:colOff>676275</xdr:colOff>
      <xdr:row>99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777F1C5-625A-49E1-807E-C368C0F0F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514350</xdr:colOff>
      <xdr:row>127</xdr:row>
      <xdr:rowOff>133351</xdr:rowOff>
    </xdr:from>
    <xdr:to>
      <xdr:col>9</xdr:col>
      <xdr:colOff>676275</xdr:colOff>
      <xdr:row>136</xdr:row>
      <xdr:rowOff>38101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44287DA-178E-4D6A-AACE-D3B261DFD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276225</xdr:colOff>
      <xdr:row>161</xdr:row>
      <xdr:rowOff>0</xdr:rowOff>
    </xdr:from>
    <xdr:to>
      <xdr:col>12</xdr:col>
      <xdr:colOff>552450</xdr:colOff>
      <xdr:row>172</xdr:row>
      <xdr:rowOff>190500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B50CFCE-B9CE-4A7D-A758-8FE9E6A90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9525</xdr:colOff>
      <xdr:row>196</xdr:row>
      <xdr:rowOff>57150</xdr:rowOff>
    </xdr:from>
    <xdr:to>
      <xdr:col>12</xdr:col>
      <xdr:colOff>647700</xdr:colOff>
      <xdr:row>209</xdr:row>
      <xdr:rowOff>47625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1F0295B-7114-4231-942C-8F002EC4F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9B40-3850-4BBA-90B6-A15274381BF5}">
  <dimension ref="B2:M218"/>
  <sheetViews>
    <sheetView tabSelected="1" workbookViewId="0">
      <selection activeCell="O187" sqref="O187"/>
    </sheetView>
  </sheetViews>
  <sheetFormatPr defaultRowHeight="16.5" x14ac:dyDescent="0.3"/>
  <sheetData>
    <row r="2" spans="2:12" ht="17.25" thickBot="1" x14ac:dyDescent="0.35"/>
    <row r="3" spans="2:12" ht="17.25" thickBot="1" x14ac:dyDescent="0.35">
      <c r="B3" s="49" t="s">
        <v>0</v>
      </c>
      <c r="C3" s="11" t="s">
        <v>11</v>
      </c>
      <c r="D3" s="11"/>
      <c r="E3" s="11"/>
      <c r="F3" s="11"/>
      <c r="G3" s="11"/>
      <c r="H3" s="11"/>
      <c r="I3" s="11"/>
      <c r="J3" s="11"/>
      <c r="K3" s="11"/>
      <c r="L3" s="12"/>
    </row>
    <row r="4" spans="2:12" ht="17.25" thickBot="1" x14ac:dyDescent="0.35">
      <c r="B4" s="23"/>
      <c r="C4" s="6" t="s">
        <v>1</v>
      </c>
      <c r="D4" s="6"/>
      <c r="E4" s="6"/>
      <c r="F4" s="6"/>
      <c r="G4" s="6"/>
      <c r="H4" s="6"/>
      <c r="I4" s="29" t="s">
        <v>12</v>
      </c>
      <c r="J4" s="30" t="s">
        <v>13</v>
      </c>
      <c r="K4" s="30" t="s">
        <v>14</v>
      </c>
      <c r="L4" s="31" t="s">
        <v>15</v>
      </c>
    </row>
    <row r="5" spans="2:12" x14ac:dyDescent="0.3">
      <c r="B5" s="24"/>
      <c r="C5" s="6" t="s">
        <v>2</v>
      </c>
      <c r="D5" s="6"/>
      <c r="E5" s="6"/>
      <c r="F5" s="6"/>
      <c r="G5" s="6"/>
      <c r="H5" s="6"/>
      <c r="I5" s="32">
        <v>21</v>
      </c>
      <c r="J5" s="33">
        <v>15</v>
      </c>
      <c r="K5" s="33">
        <v>18</v>
      </c>
      <c r="L5" s="34">
        <v>34</v>
      </c>
    </row>
    <row r="6" spans="2:12" x14ac:dyDescent="0.3">
      <c r="B6" s="24"/>
      <c r="C6" s="6"/>
      <c r="D6" s="6"/>
      <c r="E6" s="6"/>
      <c r="F6" s="6"/>
      <c r="G6" s="6"/>
      <c r="H6" s="6"/>
      <c r="I6" s="32">
        <v>18</v>
      </c>
      <c r="J6" s="33">
        <v>27</v>
      </c>
      <c r="K6" s="33">
        <v>23</v>
      </c>
      <c r="L6" s="34">
        <v>18</v>
      </c>
    </row>
    <row r="7" spans="2:12" x14ac:dyDescent="0.3">
      <c r="B7" s="24"/>
      <c r="C7" s="6"/>
      <c r="D7" s="6"/>
      <c r="E7" s="33" t="s">
        <v>12</v>
      </c>
      <c r="F7" s="33" t="s">
        <v>13</v>
      </c>
      <c r="G7" s="33" t="s">
        <v>14</v>
      </c>
      <c r="H7" s="33" t="s">
        <v>15</v>
      </c>
      <c r="I7" s="32">
        <v>12</v>
      </c>
      <c r="J7" s="33">
        <v>28</v>
      </c>
      <c r="K7" s="33">
        <v>18</v>
      </c>
      <c r="L7" s="34">
        <v>29</v>
      </c>
    </row>
    <row r="8" spans="2:12" x14ac:dyDescent="0.3">
      <c r="B8" s="24"/>
      <c r="C8" s="6" t="s">
        <v>16</v>
      </c>
      <c r="D8" s="6"/>
      <c r="E8" s="33">
        <f>COUNT(I5:I10)</f>
        <v>6</v>
      </c>
      <c r="F8" s="33">
        <f>COUNT(J5:J10)</f>
        <v>6</v>
      </c>
      <c r="G8" s="33">
        <f>COUNT(K5:K10)</f>
        <v>6</v>
      </c>
      <c r="H8" s="33">
        <f>COUNT(L5:L10)</f>
        <v>5</v>
      </c>
      <c r="I8" s="32">
        <v>18</v>
      </c>
      <c r="J8" s="33">
        <v>20</v>
      </c>
      <c r="K8" s="33">
        <v>13</v>
      </c>
      <c r="L8" s="34">
        <v>41</v>
      </c>
    </row>
    <row r="9" spans="2:12" x14ac:dyDescent="0.3">
      <c r="B9" s="24"/>
      <c r="C9" s="6" t="s">
        <v>17</v>
      </c>
      <c r="D9" s="6"/>
      <c r="E9" s="33">
        <f>AVERAGE(I5:I10)</f>
        <v>17.666666666666668</v>
      </c>
      <c r="F9" s="33">
        <f>AVERAGE(J5:J10)</f>
        <v>22.333333333333332</v>
      </c>
      <c r="G9" s="33">
        <f>AVERAGE(K5:K10)</f>
        <v>18.666666666666668</v>
      </c>
      <c r="H9" s="33">
        <f>AVERAGE(L5:L10)</f>
        <v>29.4</v>
      </c>
      <c r="I9" s="32">
        <v>24</v>
      </c>
      <c r="J9" s="33">
        <v>29</v>
      </c>
      <c r="K9" s="33">
        <v>20</v>
      </c>
      <c r="L9" s="34">
        <v>25</v>
      </c>
    </row>
    <row r="10" spans="2:12" ht="17.25" thickBot="1" x14ac:dyDescent="0.35">
      <c r="B10" s="24"/>
      <c r="C10" s="6" t="s">
        <v>19</v>
      </c>
      <c r="D10" s="6"/>
      <c r="E10" s="33">
        <f>AVERAGE(I5:L10)</f>
        <v>21.695652173913043</v>
      </c>
      <c r="F10" s="33"/>
      <c r="G10" s="33"/>
      <c r="H10" s="33"/>
      <c r="I10" s="35">
        <v>13</v>
      </c>
      <c r="J10" s="36">
        <v>15</v>
      </c>
      <c r="K10" s="36">
        <v>20</v>
      </c>
      <c r="L10" s="37"/>
    </row>
    <row r="11" spans="2:12" x14ac:dyDescent="0.3">
      <c r="B11" s="24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2:12" x14ac:dyDescent="0.3">
      <c r="B12" s="24"/>
      <c r="C12" s="6" t="s">
        <v>18</v>
      </c>
      <c r="E12" s="6">
        <f>E8*(E9-$E$10)^2</f>
        <v>97.39634530560798</v>
      </c>
      <c r="F12" s="6">
        <f>F8*(F9-$E$10)^2</f>
        <v>2.4398235664776253</v>
      </c>
      <c r="G12" s="6">
        <f>G8*(G9-$E$10)^2</f>
        <v>55.048519218651492</v>
      </c>
      <c r="H12" s="6">
        <f>H8*(H9-$E$10)^2</f>
        <v>296.78487712665395</v>
      </c>
      <c r="I12" s="6"/>
      <c r="J12" s="6" t="s">
        <v>20</v>
      </c>
      <c r="K12" s="6">
        <f>SUM(E12:H12)</f>
        <v>451.66956521739104</v>
      </c>
      <c r="L12" s="7"/>
    </row>
    <row r="13" spans="2:12" x14ac:dyDescent="0.3">
      <c r="B13" s="24"/>
      <c r="E13" s="6"/>
      <c r="F13" s="6"/>
      <c r="G13" s="6"/>
      <c r="H13" s="6"/>
      <c r="I13" s="6"/>
      <c r="J13" s="6"/>
      <c r="K13" s="6"/>
      <c r="L13" s="7"/>
    </row>
    <row r="14" spans="2:12" ht="17.25" thickBot="1" x14ac:dyDescent="0.35">
      <c r="B14" s="24"/>
      <c r="C14" s="6" t="s">
        <v>21</v>
      </c>
      <c r="D14" s="6"/>
      <c r="E14" s="6"/>
      <c r="F14" s="6"/>
      <c r="G14" s="6"/>
      <c r="H14" s="6"/>
      <c r="I14" s="6"/>
      <c r="J14" s="6"/>
      <c r="K14" s="6"/>
      <c r="L14" s="7"/>
    </row>
    <row r="15" spans="2:12" ht="17.25" thickBot="1" x14ac:dyDescent="0.35">
      <c r="B15" s="24"/>
      <c r="C15" s="39" t="s">
        <v>12</v>
      </c>
      <c r="D15" s="39" t="s">
        <v>13</v>
      </c>
      <c r="E15" s="39" t="s">
        <v>14</v>
      </c>
      <c r="F15" s="40" t="s">
        <v>15</v>
      </c>
      <c r="G15" s="6"/>
      <c r="H15" s="6"/>
      <c r="I15" s="6"/>
      <c r="J15" s="6"/>
      <c r="K15" s="6"/>
      <c r="L15" s="7"/>
    </row>
    <row r="16" spans="2:12" x14ac:dyDescent="0.3">
      <c r="B16" s="24"/>
      <c r="C16" s="41">
        <f t="shared" ref="C16:C21" si="0">(I5-$E$9)^2</f>
        <v>11.111111111111104</v>
      </c>
      <c r="D16" s="41">
        <f t="shared" ref="D16:D21" si="1">(J5-$F$9)^2</f>
        <v>53.777777777777757</v>
      </c>
      <c r="E16" s="41">
        <f t="shared" ref="E16:E21" si="2">(K5-$G$9)^2</f>
        <v>0.44444444444444603</v>
      </c>
      <c r="F16" s="42">
        <f>(L5-$H$9)^2</f>
        <v>21.160000000000014</v>
      </c>
      <c r="G16" s="6"/>
      <c r="H16" s="6"/>
      <c r="I16" s="6"/>
      <c r="J16" s="6"/>
      <c r="K16" s="6"/>
      <c r="L16" s="7"/>
    </row>
    <row r="17" spans="2:12" x14ac:dyDescent="0.3">
      <c r="B17" s="24"/>
      <c r="C17" s="33">
        <f t="shared" si="0"/>
        <v>0.11111111111111033</v>
      </c>
      <c r="D17" s="33">
        <f t="shared" si="1"/>
        <v>21.777777777777789</v>
      </c>
      <c r="E17" s="33">
        <f t="shared" si="2"/>
        <v>18.777777777777768</v>
      </c>
      <c r="F17" s="34">
        <f>(L6-$H$9)^2</f>
        <v>129.95999999999998</v>
      </c>
      <c r="G17" s="6"/>
      <c r="H17" s="6"/>
      <c r="I17" s="6"/>
      <c r="J17" s="6"/>
      <c r="K17" s="6"/>
      <c r="L17" s="7"/>
    </row>
    <row r="18" spans="2:12" x14ac:dyDescent="0.3">
      <c r="B18" s="24"/>
      <c r="C18" s="33">
        <f t="shared" si="0"/>
        <v>32.111111111111121</v>
      </c>
      <c r="D18" s="33">
        <f t="shared" si="1"/>
        <v>32.111111111111121</v>
      </c>
      <c r="E18" s="33">
        <f t="shared" si="2"/>
        <v>0.44444444444444603</v>
      </c>
      <c r="F18" s="34">
        <f>(L7-$H$9)^2</f>
        <v>0.15999999999999887</v>
      </c>
      <c r="G18" s="6"/>
      <c r="H18" s="6"/>
      <c r="I18" s="6"/>
      <c r="J18" s="6"/>
      <c r="K18" s="6"/>
      <c r="L18" s="7"/>
    </row>
    <row r="19" spans="2:12" x14ac:dyDescent="0.3">
      <c r="B19" s="24"/>
      <c r="C19" s="33">
        <f t="shared" si="0"/>
        <v>0.11111111111111033</v>
      </c>
      <c r="D19" s="33">
        <f t="shared" si="1"/>
        <v>5.4444444444444393</v>
      </c>
      <c r="E19" s="33">
        <f t="shared" si="2"/>
        <v>32.111111111111121</v>
      </c>
      <c r="F19" s="34">
        <f>(L8-$H$9)^2</f>
        <v>134.56000000000003</v>
      </c>
      <c r="G19" s="6"/>
      <c r="H19" s="6"/>
      <c r="I19" s="6"/>
      <c r="J19" s="6"/>
      <c r="K19" s="6"/>
      <c r="L19" s="7"/>
    </row>
    <row r="20" spans="2:12" x14ac:dyDescent="0.3">
      <c r="B20" s="24"/>
      <c r="C20" s="33">
        <f t="shared" si="0"/>
        <v>40.111111111111093</v>
      </c>
      <c r="D20" s="33">
        <f t="shared" si="1"/>
        <v>44.444444444444457</v>
      </c>
      <c r="E20" s="33">
        <f t="shared" si="2"/>
        <v>1.7777777777777746</v>
      </c>
      <c r="F20" s="34">
        <f>(L9-$H$9)^2</f>
        <v>19.359999999999989</v>
      </c>
      <c r="G20" s="6"/>
      <c r="H20" s="6"/>
      <c r="I20" s="6"/>
      <c r="J20" s="6"/>
      <c r="K20" s="6"/>
      <c r="L20" s="7"/>
    </row>
    <row r="21" spans="2:12" ht="17.25" thickBot="1" x14ac:dyDescent="0.35">
      <c r="B21" s="24"/>
      <c r="C21" s="36">
        <f t="shared" si="0"/>
        <v>21.777777777777789</v>
      </c>
      <c r="D21" s="36">
        <f t="shared" si="1"/>
        <v>53.777777777777757</v>
      </c>
      <c r="E21" s="36">
        <f t="shared" si="2"/>
        <v>1.7777777777777746</v>
      </c>
      <c r="F21" s="37"/>
      <c r="G21" s="6" t="s">
        <v>22</v>
      </c>
      <c r="H21" s="6">
        <f>SUM(C16:F21)</f>
        <v>677.20000000000016</v>
      </c>
      <c r="I21" s="6"/>
      <c r="J21" s="6"/>
      <c r="K21" s="6"/>
      <c r="L21" s="7"/>
    </row>
    <row r="22" spans="2:12" x14ac:dyDescent="0.3">
      <c r="B22" s="24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2" x14ac:dyDescent="0.3">
      <c r="B23" s="24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2:12" x14ac:dyDescent="0.3">
      <c r="B24" s="24"/>
      <c r="C24" s="43"/>
      <c r="D24" s="43" t="s">
        <v>3</v>
      </c>
      <c r="E24" s="43" t="s">
        <v>4</v>
      </c>
      <c r="F24" s="43" t="s">
        <v>5</v>
      </c>
      <c r="G24" s="43" t="s">
        <v>6</v>
      </c>
      <c r="H24" s="44" t="s">
        <v>7</v>
      </c>
      <c r="I24" s="6"/>
      <c r="J24" s="6"/>
      <c r="K24" s="6"/>
      <c r="L24" s="7"/>
    </row>
    <row r="25" spans="2:12" x14ac:dyDescent="0.3">
      <c r="B25" s="24"/>
      <c r="C25" s="47" t="s">
        <v>8</v>
      </c>
      <c r="D25" s="45">
        <f>3</f>
        <v>3</v>
      </c>
      <c r="E25" s="45">
        <f>K12</f>
        <v>451.66956521739104</v>
      </c>
      <c r="F25" s="45">
        <f>E25/D25</f>
        <v>150.55652173913035</v>
      </c>
      <c r="G25" s="45">
        <f>F25/F26</f>
        <v>4.2241197770872354</v>
      </c>
      <c r="H25" s="45">
        <f>_xlfn.F.DIST.RT(G25,D25,D26)</f>
        <v>1.9010570402935398E-2</v>
      </c>
      <c r="I25" s="6"/>
      <c r="J25" s="6"/>
      <c r="K25" s="6"/>
      <c r="L25" s="7"/>
    </row>
    <row r="26" spans="2:12" x14ac:dyDescent="0.3">
      <c r="B26" s="24"/>
      <c r="C26" s="47" t="s">
        <v>9</v>
      </c>
      <c r="D26" s="45">
        <f>SUM(E8:H8) - 4</f>
        <v>19</v>
      </c>
      <c r="E26" s="45">
        <f>H21</f>
        <v>677.20000000000016</v>
      </c>
      <c r="F26" s="45">
        <f>E26/D26</f>
        <v>35.642105263157902</v>
      </c>
      <c r="G26" s="46"/>
      <c r="H26" s="46"/>
      <c r="I26" s="6"/>
      <c r="J26" s="6"/>
      <c r="K26" s="6"/>
      <c r="L26" s="7"/>
    </row>
    <row r="27" spans="2:12" x14ac:dyDescent="0.3">
      <c r="B27" s="24"/>
      <c r="C27" s="48" t="s">
        <v>10</v>
      </c>
      <c r="D27" s="45">
        <f>D26+D25</f>
        <v>22</v>
      </c>
      <c r="E27" s="45">
        <f>E26+E25</f>
        <v>1128.8695652173913</v>
      </c>
      <c r="F27" s="46"/>
      <c r="G27" s="46"/>
      <c r="H27" s="46"/>
      <c r="I27" s="6"/>
      <c r="J27" s="6"/>
      <c r="K27" s="6"/>
      <c r="L27" s="7"/>
    </row>
    <row r="28" spans="2:12" x14ac:dyDescent="0.3">
      <c r="B28" s="24"/>
      <c r="C28" s="6"/>
      <c r="D28" s="6" t="s">
        <v>80</v>
      </c>
      <c r="E28" s="6"/>
      <c r="F28" s="6"/>
      <c r="G28" s="6"/>
      <c r="H28" s="6"/>
      <c r="I28" s="6"/>
      <c r="J28" s="6"/>
      <c r="K28" s="6"/>
      <c r="L28" s="7"/>
    </row>
    <row r="29" spans="2:12" ht="17.25" thickBot="1" x14ac:dyDescent="0.35">
      <c r="B29" s="24"/>
      <c r="C29" s="20" t="s">
        <v>23</v>
      </c>
      <c r="D29" s="21"/>
      <c r="E29" s="21" t="s">
        <v>24</v>
      </c>
      <c r="F29" s="21"/>
      <c r="G29" s="21"/>
      <c r="H29" s="21"/>
      <c r="I29" s="21"/>
      <c r="J29" s="9"/>
      <c r="K29" s="9"/>
      <c r="L29" s="10"/>
    </row>
    <row r="30" spans="2:12" ht="17.25" thickBot="1" x14ac:dyDescent="0.35">
      <c r="B30" s="49"/>
      <c r="C30" s="11" t="s">
        <v>25</v>
      </c>
      <c r="D30" s="11"/>
      <c r="E30" s="11"/>
      <c r="F30" s="11"/>
      <c r="G30" s="11"/>
      <c r="H30" s="11"/>
      <c r="I30" s="11"/>
      <c r="J30" s="11"/>
      <c r="K30" s="11"/>
      <c r="L30" s="12"/>
    </row>
    <row r="31" spans="2:12" x14ac:dyDescent="0.3">
      <c r="B31" s="23"/>
      <c r="C31" s="33" t="s">
        <v>26</v>
      </c>
      <c r="D31" s="33">
        <v>0.05</v>
      </c>
      <c r="E31" s="33"/>
      <c r="F31" s="33" t="s">
        <v>28</v>
      </c>
      <c r="G31" s="33">
        <v>19</v>
      </c>
      <c r="H31" s="33"/>
      <c r="I31" s="33" t="s">
        <v>27</v>
      </c>
      <c r="J31" s="33">
        <v>4</v>
      </c>
      <c r="K31" s="6"/>
      <c r="L31" s="7"/>
    </row>
    <row r="32" spans="2:12" x14ac:dyDescent="0.3">
      <c r="B32" s="24"/>
      <c r="C32" s="54" t="s">
        <v>30</v>
      </c>
      <c r="D32" s="33">
        <v>3.98</v>
      </c>
      <c r="E32" s="33"/>
      <c r="F32" s="33" t="s">
        <v>29</v>
      </c>
      <c r="G32" s="33">
        <f>SQRT(F26)</f>
        <v>5.9701009424596752</v>
      </c>
      <c r="H32" s="33"/>
      <c r="I32" s="33"/>
      <c r="J32" s="6"/>
      <c r="K32" s="6"/>
      <c r="L32" s="7"/>
    </row>
    <row r="33" spans="2:12" ht="17.25" thickBot="1" x14ac:dyDescent="0.35">
      <c r="B33" s="24"/>
      <c r="C33" s="54"/>
      <c r="D33" s="33"/>
      <c r="E33" s="33"/>
      <c r="F33" s="33"/>
      <c r="G33" s="33"/>
      <c r="H33" s="33"/>
      <c r="I33" s="33"/>
      <c r="J33" s="6"/>
      <c r="K33" s="6"/>
      <c r="L33" s="7"/>
    </row>
    <row r="34" spans="2:12" x14ac:dyDescent="0.3">
      <c r="B34" s="24"/>
      <c r="C34" s="54" t="s">
        <v>31</v>
      </c>
      <c r="D34" s="33"/>
      <c r="E34" s="33">
        <f>E9-F9-G32*D32/SQRT(2)*SQRT(1/6+1/6)</f>
        <v>-14.367055011216985</v>
      </c>
      <c r="F34" s="33">
        <f>E9-F9+G32*D32/SQRT(2)*SQRT(1/6+1/6)</f>
        <v>5.0337216778836567</v>
      </c>
      <c r="G34" s="33"/>
      <c r="H34" s="33" t="s">
        <v>38</v>
      </c>
      <c r="I34" s="33"/>
      <c r="J34" s="50"/>
      <c r="K34" s="51"/>
      <c r="L34" s="52"/>
    </row>
    <row r="35" spans="2:12" x14ac:dyDescent="0.3">
      <c r="B35" s="24"/>
      <c r="C35" s="54" t="s">
        <v>32</v>
      </c>
      <c r="D35" s="33"/>
      <c r="E35" s="33">
        <f>E9-G9-G32*D32/SQRT(2)*SQRT(1/6+1/6)</f>
        <v>-10.700388344550321</v>
      </c>
      <c r="F35" s="33">
        <f>E9-G9+G32*D32/SQRT(2)*SQRT(1/6+1/6)</f>
        <v>8.700388344550321</v>
      </c>
      <c r="G35" s="33"/>
      <c r="H35" s="33" t="s">
        <v>37</v>
      </c>
      <c r="I35" s="33"/>
      <c r="J35" s="5" t="s">
        <v>76</v>
      </c>
      <c r="K35" s="6"/>
      <c r="L35" s="26" t="s">
        <v>79</v>
      </c>
    </row>
    <row r="36" spans="2:12" x14ac:dyDescent="0.3">
      <c r="B36" s="24"/>
      <c r="C36" s="54" t="s">
        <v>33</v>
      </c>
      <c r="D36" s="33"/>
      <c r="E36" s="33">
        <f>E9-H9-G32*D32/SQRT(2)*SQRT(1/6 + 1/5)</f>
        <v>-21.907186459784317</v>
      </c>
      <c r="F36" s="33">
        <f>E9-H9+G32*D32/SQRT(2)*SQRT(1/6 + 1/5)</f>
        <v>-1.5594802068823448</v>
      </c>
      <c r="G36" s="33"/>
      <c r="H36" s="33" t="s">
        <v>39</v>
      </c>
      <c r="I36" s="33"/>
      <c r="J36" s="5" t="s">
        <v>77</v>
      </c>
      <c r="K36" s="6"/>
      <c r="L36" s="27" t="s">
        <v>78</v>
      </c>
    </row>
    <row r="37" spans="2:12" ht="17.25" thickBot="1" x14ac:dyDescent="0.35">
      <c r="B37" s="24"/>
      <c r="C37" s="54" t="s">
        <v>34</v>
      </c>
      <c r="D37" s="33"/>
      <c r="E37" s="33">
        <f>F9-G9-G32*D32/SQRT(2)*SQRT(1/6 + 1/6)</f>
        <v>-6.0337216778836567</v>
      </c>
      <c r="F37" s="33">
        <f>F9-G9+G32*D32/SQRT(2)*SQRT(1/6 + 1/6)</f>
        <v>13.367055011216985</v>
      </c>
      <c r="G37" s="33"/>
      <c r="H37" s="33" t="s">
        <v>40</v>
      </c>
      <c r="I37" s="33"/>
      <c r="J37" s="53" t="s">
        <v>78</v>
      </c>
      <c r="K37" s="9"/>
      <c r="L37" s="10"/>
    </row>
    <row r="38" spans="2:12" x14ac:dyDescent="0.3">
      <c r="B38" s="24"/>
      <c r="C38" s="54" t="s">
        <v>35</v>
      </c>
      <c r="D38" s="33"/>
      <c r="E38" s="33">
        <f>F9-H9-G32*D32/SQRT(2)*SQRT(1/6+1/5)</f>
        <v>-17.240519793117652</v>
      </c>
      <c r="F38" s="33">
        <f>F9-H9+G32*D32/SQRT(2)*SQRT(1/6+1/5)</f>
        <v>3.1071864597843195</v>
      </c>
      <c r="G38" s="33"/>
      <c r="H38" s="33" t="s">
        <v>41</v>
      </c>
      <c r="I38" s="33"/>
      <c r="J38" s="6"/>
      <c r="K38" s="6"/>
      <c r="L38" s="7"/>
    </row>
    <row r="39" spans="2:12" x14ac:dyDescent="0.3">
      <c r="B39" s="24"/>
      <c r="C39" s="54" t="s">
        <v>36</v>
      </c>
      <c r="D39" s="33"/>
      <c r="E39" s="33">
        <f>G9-H9-G32*D32*SQRT(1/6 + 1/5)/SQRT(2)</f>
        <v>-20.90718645978432</v>
      </c>
      <c r="F39" s="33">
        <f>G9-H9+G32*D32/SQRT(2)*SQRT(1/6 + 1/5)</f>
        <v>-0.55948020688234479</v>
      </c>
      <c r="G39" s="33"/>
      <c r="H39" s="33" t="s">
        <v>42</v>
      </c>
      <c r="I39" s="33"/>
      <c r="J39" s="6"/>
      <c r="K39" s="6"/>
      <c r="L39" s="7"/>
    </row>
    <row r="40" spans="2:12" x14ac:dyDescent="0.3">
      <c r="B40" s="24"/>
      <c r="C40" s="6"/>
      <c r="D40" s="6"/>
      <c r="E40" s="6"/>
      <c r="F40" s="6"/>
      <c r="G40" s="6"/>
      <c r="H40" s="6"/>
      <c r="I40" s="6"/>
      <c r="J40" s="6"/>
      <c r="K40" s="6"/>
      <c r="L40" s="7"/>
    </row>
    <row r="41" spans="2:12" ht="17.25" thickBot="1" x14ac:dyDescent="0.35">
      <c r="B41" s="25"/>
      <c r="C41" s="21" t="s">
        <v>43</v>
      </c>
      <c r="D41" s="21"/>
      <c r="E41" s="21"/>
      <c r="F41" s="21"/>
      <c r="G41" s="9"/>
      <c r="H41" s="9"/>
      <c r="I41" s="9"/>
      <c r="J41" s="9"/>
      <c r="K41" s="9"/>
      <c r="L41" s="10"/>
    </row>
    <row r="42" spans="2:12" ht="17.25" thickBot="1" x14ac:dyDescent="0.35"/>
    <row r="43" spans="2:12" ht="17.25" thickBot="1" x14ac:dyDescent="0.35">
      <c r="B43" s="23" t="s">
        <v>44</v>
      </c>
      <c r="C43" s="3" t="s">
        <v>82</v>
      </c>
      <c r="D43" s="3"/>
      <c r="E43" s="3"/>
      <c r="F43" s="3"/>
      <c r="G43" s="3"/>
      <c r="H43" s="3"/>
      <c r="I43" s="3"/>
      <c r="J43" s="3"/>
      <c r="K43" s="3"/>
      <c r="L43" s="4"/>
    </row>
    <row r="44" spans="2:12" ht="17.25" thickBot="1" x14ac:dyDescent="0.35">
      <c r="B44" s="24"/>
      <c r="C44" s="6" t="s">
        <v>81</v>
      </c>
      <c r="D44" s="6"/>
      <c r="E44" s="6"/>
      <c r="F44" s="6" t="s">
        <v>83</v>
      </c>
      <c r="G44" s="6"/>
      <c r="H44" s="6"/>
      <c r="I44" s="6"/>
      <c r="J44" s="38" t="s">
        <v>12</v>
      </c>
      <c r="K44" s="39" t="s">
        <v>13</v>
      </c>
      <c r="L44" s="40" t="s">
        <v>14</v>
      </c>
    </row>
    <row r="45" spans="2:12" x14ac:dyDescent="0.3">
      <c r="B45" s="24"/>
      <c r="C45" s="6" t="s">
        <v>26</v>
      </c>
      <c r="D45" s="6">
        <v>0.05</v>
      </c>
      <c r="E45" s="6"/>
      <c r="F45" s="6"/>
      <c r="G45" s="6"/>
      <c r="H45" s="6"/>
      <c r="I45" s="6">
        <f t="shared" ref="I45:I50" si="3">AVERAGE(J45:L45)</f>
        <v>18</v>
      </c>
      <c r="J45" s="32">
        <v>21</v>
      </c>
      <c r="K45" s="33">
        <v>15</v>
      </c>
      <c r="L45" s="34">
        <v>18</v>
      </c>
    </row>
    <row r="46" spans="2:12" x14ac:dyDescent="0.3">
      <c r="B46" s="24"/>
      <c r="C46" s="6" t="s">
        <v>11</v>
      </c>
      <c r="D46" s="64" t="s">
        <v>87</v>
      </c>
      <c r="E46" s="64"/>
      <c r="F46" s="64"/>
      <c r="G46" s="64"/>
      <c r="H46" s="6"/>
      <c r="I46" s="6">
        <f t="shared" si="3"/>
        <v>22.666666666666668</v>
      </c>
      <c r="J46" s="32">
        <v>18</v>
      </c>
      <c r="K46" s="33">
        <v>27</v>
      </c>
      <c r="L46" s="34">
        <v>23</v>
      </c>
    </row>
    <row r="47" spans="2:12" x14ac:dyDescent="0.3">
      <c r="B47" s="24"/>
      <c r="C47" s="6"/>
      <c r="D47" s="6"/>
      <c r="E47" s="6"/>
      <c r="F47" s="6"/>
      <c r="G47" s="6"/>
      <c r="H47" s="6"/>
      <c r="I47" s="6">
        <f t="shared" si="3"/>
        <v>19.333333333333332</v>
      </c>
      <c r="J47" s="32">
        <v>12</v>
      </c>
      <c r="K47" s="33">
        <v>28</v>
      </c>
      <c r="L47" s="34">
        <v>18</v>
      </c>
    </row>
    <row r="48" spans="2:12" x14ac:dyDescent="0.3">
      <c r="B48" s="24"/>
      <c r="C48" s="6" t="s">
        <v>25</v>
      </c>
      <c r="D48" s="6"/>
      <c r="E48" s="6"/>
      <c r="F48" s="6"/>
      <c r="G48" s="6"/>
      <c r="H48" s="6"/>
      <c r="I48" s="6">
        <f t="shared" si="3"/>
        <v>17</v>
      </c>
      <c r="J48" s="32">
        <v>18</v>
      </c>
      <c r="K48" s="33">
        <v>20</v>
      </c>
      <c r="L48" s="34">
        <v>13</v>
      </c>
    </row>
    <row r="49" spans="2:12" x14ac:dyDescent="0.3">
      <c r="B49" s="24"/>
      <c r="C49" s="6"/>
      <c r="D49" s="6"/>
      <c r="E49" s="33" t="s">
        <v>12</v>
      </c>
      <c r="F49" s="33" t="s">
        <v>13</v>
      </c>
      <c r="G49" s="33" t="s">
        <v>14</v>
      </c>
      <c r="H49" s="6"/>
      <c r="I49" s="6">
        <f t="shared" si="3"/>
        <v>24.333333333333332</v>
      </c>
      <c r="J49" s="32">
        <v>24</v>
      </c>
      <c r="K49" s="33">
        <v>29</v>
      </c>
      <c r="L49" s="34">
        <v>20</v>
      </c>
    </row>
    <row r="50" spans="2:12" ht="17.25" thickBot="1" x14ac:dyDescent="0.35">
      <c r="B50" s="24"/>
      <c r="C50" s="6" t="s">
        <v>86</v>
      </c>
      <c r="D50" s="6"/>
      <c r="E50" s="33">
        <f>COUNT(J45:J50)</f>
        <v>6</v>
      </c>
      <c r="F50" s="33">
        <f t="shared" ref="F50:G50" si="4">COUNT(K45:K50)</f>
        <v>6</v>
      </c>
      <c r="G50" s="33">
        <f t="shared" si="4"/>
        <v>6</v>
      </c>
      <c r="H50" s="6"/>
      <c r="I50" s="6">
        <f t="shared" si="3"/>
        <v>16</v>
      </c>
      <c r="J50" s="35">
        <v>13</v>
      </c>
      <c r="K50" s="36">
        <v>15</v>
      </c>
      <c r="L50" s="37">
        <v>20</v>
      </c>
    </row>
    <row r="51" spans="2:12" x14ac:dyDescent="0.3">
      <c r="B51" s="24"/>
      <c r="C51" s="6" t="s">
        <v>18</v>
      </c>
      <c r="D51" s="6"/>
      <c r="E51" s="33">
        <f>E50*(J51-$I$51)^2</f>
        <v>21.407407407407419</v>
      </c>
      <c r="F51" s="33">
        <f>F50*(K51-$I$51)^2</f>
        <v>46.296296296296205</v>
      </c>
      <c r="G51" s="33">
        <f>G50*(L51-$I$51)^2</f>
        <v>4.7407407407407449</v>
      </c>
      <c r="H51" s="6"/>
      <c r="I51" s="14">
        <f>AVERAGE(J45:L50)</f>
        <v>19.555555555555557</v>
      </c>
      <c r="J51" s="6">
        <f>AVERAGE(J45:J50)</f>
        <v>17.666666666666668</v>
      </c>
      <c r="K51" s="6">
        <f t="shared" ref="K51:L51" si="5">AVERAGE(K45:K50)</f>
        <v>22.333333333333332</v>
      </c>
      <c r="L51" s="7">
        <f t="shared" si="5"/>
        <v>18.666666666666668</v>
      </c>
    </row>
    <row r="52" spans="2:12" ht="17.25" thickBot="1" x14ac:dyDescent="0.35">
      <c r="B52" s="24"/>
      <c r="C52" s="6"/>
      <c r="D52" s="6"/>
      <c r="E52" s="33">
        <f>SUM(E51:G51)</f>
        <v>72.444444444444372</v>
      </c>
      <c r="F52" s="33"/>
      <c r="G52" s="33"/>
      <c r="H52" s="6"/>
      <c r="I52" s="6"/>
      <c r="J52" s="6"/>
      <c r="K52" s="6"/>
      <c r="L52" s="7"/>
    </row>
    <row r="53" spans="2:12" ht="17.25" thickBot="1" x14ac:dyDescent="0.35">
      <c r="B53" s="24"/>
      <c r="C53" s="6" t="s">
        <v>21</v>
      </c>
      <c r="D53" s="6"/>
      <c r="E53" s="17" t="s">
        <v>12</v>
      </c>
      <c r="F53" s="18" t="s">
        <v>13</v>
      </c>
      <c r="G53" s="19" t="s">
        <v>14</v>
      </c>
      <c r="H53" s="6"/>
      <c r="I53" s="6"/>
      <c r="J53" s="6"/>
      <c r="K53" s="6"/>
      <c r="L53" s="7"/>
    </row>
    <row r="54" spans="2:12" x14ac:dyDescent="0.3">
      <c r="B54" s="24"/>
      <c r="C54" s="6"/>
      <c r="D54" s="6"/>
      <c r="E54" s="5">
        <f>(J45-$J$51-I45+$I$51)^2</f>
        <v>23.901234567901238</v>
      </c>
      <c r="F54" s="6">
        <f>(K45-$K$51-I45+$I$51)^2</f>
        <v>33.382716049382687</v>
      </c>
      <c r="G54" s="7">
        <f>(L45-$L$51-I45+$I$51)^2</f>
        <v>0.79012345679012419</v>
      </c>
      <c r="H54" s="6"/>
      <c r="I54" s="6"/>
      <c r="J54" s="6"/>
      <c r="K54" s="6"/>
      <c r="L54" s="7"/>
    </row>
    <row r="55" spans="2:12" x14ac:dyDescent="0.3">
      <c r="B55" s="24"/>
      <c r="C55" s="6"/>
      <c r="D55" s="6"/>
      <c r="E55" s="5">
        <f>(J46-$J$51-I46+$I$51)^2</f>
        <v>7.7160493827160535</v>
      </c>
      <c r="F55" s="6">
        <f t="shared" ref="F55:F59" si="6">(K46-$K$51-I46+$I$51)^2</f>
        <v>2.4197530864197581</v>
      </c>
      <c r="G55" s="7">
        <f t="shared" ref="G55:G59" si="7">(L46-$L$51-I46+$I$51)^2</f>
        <v>1.4938271604938251</v>
      </c>
      <c r="H55" s="6"/>
      <c r="I55" s="6"/>
      <c r="J55" s="6"/>
      <c r="K55" s="6"/>
      <c r="L55" s="7"/>
    </row>
    <row r="56" spans="2:12" x14ac:dyDescent="0.3">
      <c r="B56" s="24"/>
      <c r="C56" s="6"/>
      <c r="D56" s="6"/>
      <c r="E56" s="5">
        <f>(J47-$J$51-I47+$I$51)^2</f>
        <v>29.641975308641957</v>
      </c>
      <c r="F56" s="6">
        <f>(K47-$K$51-I47+$I$51)^2</f>
        <v>34.679012345679055</v>
      </c>
      <c r="G56" s="7">
        <f t="shared" si="7"/>
        <v>0.19753086419752947</v>
      </c>
      <c r="H56" s="6"/>
      <c r="I56" s="6"/>
      <c r="J56" s="6"/>
      <c r="K56" s="6"/>
      <c r="L56" s="7"/>
    </row>
    <row r="57" spans="2:12" x14ac:dyDescent="0.3">
      <c r="B57" s="24"/>
      <c r="C57" s="6"/>
      <c r="D57" s="6"/>
      <c r="E57" s="5">
        <f>(J48-$J$51-I48+$I$51)^2</f>
        <v>8.3456790123456805</v>
      </c>
      <c r="F57" s="6">
        <f>(K48-$K$51-I48+$I$51)^2</f>
        <v>4.9382716049383941E-2</v>
      </c>
      <c r="G57" s="7">
        <f>(L48-$L$51-I48+$I$51)^2</f>
        <v>9.6790123456790091</v>
      </c>
      <c r="H57" s="6"/>
      <c r="I57" s="6"/>
      <c r="J57" s="6"/>
      <c r="K57" s="6"/>
      <c r="L57" s="7"/>
    </row>
    <row r="58" spans="2:12" x14ac:dyDescent="0.3">
      <c r="B58" s="24"/>
      <c r="C58" s="6"/>
      <c r="D58" s="6"/>
      <c r="E58" s="5">
        <f t="shared" ref="E58:E59" si="8">(J49-$J$51-I49+$I$51)^2</f>
        <v>2.4197530864197581</v>
      </c>
      <c r="F58" s="6">
        <f>(K49-$K$51-I49+$I$51)^2</f>
        <v>3.5679012345679162</v>
      </c>
      <c r="G58" s="7">
        <f t="shared" si="7"/>
        <v>11.864197530864187</v>
      </c>
      <c r="H58" s="6"/>
      <c r="I58" s="6"/>
      <c r="J58" s="6"/>
      <c r="K58" s="6"/>
      <c r="L58" s="7"/>
    </row>
    <row r="59" spans="2:12" ht="17.25" thickBot="1" x14ac:dyDescent="0.35">
      <c r="B59" s="24"/>
      <c r="C59" s="6"/>
      <c r="D59" s="6"/>
      <c r="E59" s="8">
        <f t="shared" si="8"/>
        <v>1.2345679012345669</v>
      </c>
      <c r="F59" s="9">
        <f t="shared" si="6"/>
        <v>14.271604938271585</v>
      </c>
      <c r="G59" s="10">
        <f t="shared" si="7"/>
        <v>23.901234567901238</v>
      </c>
      <c r="H59" s="6"/>
      <c r="I59" s="6">
        <f>SUM(E54:G59)</f>
        <v>209.55555555555554</v>
      </c>
      <c r="J59" s="6"/>
      <c r="K59" s="6"/>
      <c r="L59" s="7"/>
    </row>
    <row r="60" spans="2:12" ht="17.25" thickBot="1" x14ac:dyDescent="0.35">
      <c r="B60" s="24"/>
      <c r="C60" s="6"/>
      <c r="D60" s="6"/>
      <c r="E60" s="6"/>
      <c r="F60" s="6"/>
      <c r="G60" s="6"/>
      <c r="H60" s="6"/>
      <c r="I60" s="6"/>
      <c r="J60" s="6"/>
      <c r="K60" s="6"/>
      <c r="L60" s="7"/>
    </row>
    <row r="61" spans="2:12" x14ac:dyDescent="0.3">
      <c r="B61" s="24"/>
      <c r="C61" s="6" t="s">
        <v>85</v>
      </c>
      <c r="D61" s="6"/>
      <c r="E61" s="23">
        <f t="shared" ref="E61:E66" si="9">3*(I45-$I$51)^2</f>
        <v>7.2592592592592737</v>
      </c>
      <c r="F61" s="6"/>
      <c r="G61" s="14">
        <f>SUM(E61:E66)</f>
        <v>162.44444444444443</v>
      </c>
      <c r="H61" s="6"/>
      <c r="I61" s="6"/>
      <c r="J61" s="6"/>
      <c r="K61" s="6"/>
      <c r="L61" s="7"/>
    </row>
    <row r="62" spans="2:12" x14ac:dyDescent="0.3">
      <c r="B62" s="24"/>
      <c r="C62" s="6"/>
      <c r="D62" s="6"/>
      <c r="E62" s="24">
        <f t="shared" si="9"/>
        <v>29.037037037037027</v>
      </c>
      <c r="F62" s="6"/>
      <c r="G62" s="6"/>
      <c r="H62" s="6"/>
      <c r="I62" s="6"/>
      <c r="J62" s="6"/>
      <c r="K62" s="6"/>
      <c r="L62" s="7"/>
    </row>
    <row r="63" spans="2:12" x14ac:dyDescent="0.3">
      <c r="B63" s="24"/>
      <c r="C63" s="6"/>
      <c r="D63" s="6"/>
      <c r="E63" s="24">
        <f t="shared" si="9"/>
        <v>0.14814814814815183</v>
      </c>
      <c r="F63" s="6"/>
      <c r="G63" s="6"/>
      <c r="H63" s="6"/>
      <c r="I63" s="6"/>
      <c r="J63" s="6"/>
      <c r="K63" s="6"/>
      <c r="L63" s="7"/>
    </row>
    <row r="64" spans="2:12" x14ac:dyDescent="0.3">
      <c r="B64" s="24"/>
      <c r="C64" s="6"/>
      <c r="D64" s="6"/>
      <c r="E64" s="24">
        <f t="shared" si="9"/>
        <v>19.592592592592617</v>
      </c>
      <c r="F64" s="6"/>
      <c r="G64" s="6"/>
      <c r="H64" s="6"/>
      <c r="I64" s="6"/>
      <c r="J64" s="6"/>
      <c r="K64" s="6"/>
      <c r="L64" s="7"/>
    </row>
    <row r="65" spans="2:13" x14ac:dyDescent="0.3">
      <c r="B65" s="24"/>
      <c r="C65" s="6"/>
      <c r="D65" s="6"/>
      <c r="E65" s="24">
        <f t="shared" si="9"/>
        <v>68.481481481481396</v>
      </c>
      <c r="F65" s="6"/>
      <c r="G65" s="6"/>
      <c r="H65" s="6"/>
      <c r="I65" s="6"/>
      <c r="J65" s="6"/>
      <c r="K65" s="6"/>
      <c r="L65" s="7"/>
    </row>
    <row r="66" spans="2:13" ht="17.25" thickBot="1" x14ac:dyDescent="0.35">
      <c r="B66" s="24"/>
      <c r="C66" s="6"/>
      <c r="D66" s="6"/>
      <c r="E66" s="25">
        <f t="shared" si="9"/>
        <v>37.925925925925959</v>
      </c>
      <c r="F66" s="6"/>
      <c r="G66" s="6"/>
      <c r="H66" s="6"/>
      <c r="I66" s="6"/>
      <c r="J66" s="6"/>
      <c r="K66" s="6"/>
      <c r="L66" s="7"/>
    </row>
    <row r="67" spans="2:13" x14ac:dyDescent="0.3">
      <c r="B67" s="24"/>
      <c r="C67" s="6"/>
      <c r="D67" s="6"/>
      <c r="E67" s="6"/>
      <c r="F67" s="6"/>
      <c r="G67" s="6"/>
      <c r="H67" s="6"/>
      <c r="I67" s="6"/>
      <c r="J67" s="6"/>
      <c r="K67" s="6"/>
      <c r="L67" s="7"/>
    </row>
    <row r="68" spans="2:13" x14ac:dyDescent="0.3">
      <c r="B68" s="24"/>
      <c r="C68" s="60"/>
      <c r="D68" s="59" t="s">
        <v>3</v>
      </c>
      <c r="E68" s="59" t="s">
        <v>4</v>
      </c>
      <c r="F68" s="59" t="s">
        <v>5</v>
      </c>
      <c r="G68" s="59" t="s">
        <v>6</v>
      </c>
      <c r="H68" s="59" t="s">
        <v>7</v>
      </c>
      <c r="I68" s="6"/>
      <c r="J68" s="6"/>
      <c r="K68" s="6"/>
      <c r="L68" s="7"/>
    </row>
    <row r="69" spans="2:13" x14ac:dyDescent="0.3">
      <c r="B69" s="24"/>
      <c r="C69" s="55" t="s">
        <v>8</v>
      </c>
      <c r="D69" s="57">
        <f>2</f>
        <v>2</v>
      </c>
      <c r="E69" s="57">
        <f>E52</f>
        <v>72.444444444444372</v>
      </c>
      <c r="F69" s="57">
        <f>E69/D69</f>
        <v>36.222222222222186</v>
      </c>
      <c r="G69" s="57">
        <f>F69/F71</f>
        <v>1.7285259809119813</v>
      </c>
      <c r="H69" s="57">
        <f>_xlfn.F.DIST.RT(G69,D69,D71)</f>
        <v>0.22659501598409151</v>
      </c>
      <c r="I69" s="6"/>
      <c r="J69" s="6"/>
      <c r="K69" s="6"/>
      <c r="L69" s="7"/>
    </row>
    <row r="70" spans="2:13" x14ac:dyDescent="0.3">
      <c r="B70" s="24"/>
      <c r="C70" s="61" t="s">
        <v>84</v>
      </c>
      <c r="D70" s="58">
        <v>5</v>
      </c>
      <c r="E70" s="58">
        <f>G61</f>
        <v>162.44444444444443</v>
      </c>
      <c r="F70" s="58">
        <f>E70/D70</f>
        <v>32.488888888888887</v>
      </c>
      <c r="G70" s="1">
        <f>F70/F71</f>
        <v>1.5503711558854718</v>
      </c>
      <c r="H70" s="1">
        <f>_xlfn.F.DIST.RT(G70,D70,D71)</f>
        <v>0.25926501125155982</v>
      </c>
      <c r="I70" s="6"/>
      <c r="J70" s="6"/>
      <c r="K70" s="6"/>
      <c r="L70" s="7"/>
    </row>
    <row r="71" spans="2:13" x14ac:dyDescent="0.3">
      <c r="B71" s="24"/>
      <c r="C71" s="55" t="s">
        <v>9</v>
      </c>
      <c r="D71" s="57">
        <f>10</f>
        <v>10</v>
      </c>
      <c r="E71" s="57">
        <f>I59</f>
        <v>209.55555555555554</v>
      </c>
      <c r="F71" s="57">
        <f>E71/D71</f>
        <v>20.955555555555556</v>
      </c>
      <c r="G71" s="13"/>
      <c r="H71" s="13"/>
      <c r="I71" s="6"/>
      <c r="J71" s="6"/>
      <c r="K71" s="6"/>
      <c r="L71" s="7"/>
    </row>
    <row r="72" spans="2:13" x14ac:dyDescent="0.3">
      <c r="B72" s="24"/>
      <c r="C72" s="56" t="s">
        <v>10</v>
      </c>
      <c r="D72" s="1">
        <f>SUM(D69:D71)</f>
        <v>17</v>
      </c>
      <c r="E72" s="1">
        <f>SUM(E69:E71)</f>
        <v>444.44444444444434</v>
      </c>
      <c r="F72" s="13"/>
      <c r="G72" s="6"/>
      <c r="H72" s="6"/>
      <c r="I72" s="6"/>
      <c r="J72" s="6"/>
      <c r="K72" s="6"/>
      <c r="L72" s="7"/>
    </row>
    <row r="73" spans="2:13" x14ac:dyDescent="0.3">
      <c r="B73" s="24"/>
      <c r="C73" s="6"/>
      <c r="D73" s="6"/>
      <c r="E73" s="6"/>
      <c r="F73" s="6"/>
      <c r="G73" s="6"/>
      <c r="H73" s="6"/>
      <c r="I73" s="6"/>
      <c r="J73" s="6"/>
      <c r="K73" s="6"/>
      <c r="L73" s="7"/>
    </row>
    <row r="74" spans="2:13" x14ac:dyDescent="0.3">
      <c r="B74" s="24"/>
      <c r="C74" s="6"/>
      <c r="D74" s="6"/>
      <c r="E74" s="6"/>
      <c r="F74" s="6"/>
      <c r="G74" s="6"/>
      <c r="H74" s="6"/>
      <c r="I74" s="6"/>
      <c r="J74" s="6"/>
      <c r="K74" s="6"/>
      <c r="L74" s="7"/>
    </row>
    <row r="75" spans="2:13" ht="17.25" thickBot="1" x14ac:dyDescent="0.35">
      <c r="B75" s="25"/>
      <c r="C75" s="63" t="s">
        <v>88</v>
      </c>
      <c r="D75" s="62"/>
      <c r="E75" s="62"/>
      <c r="F75" s="62"/>
      <c r="G75" s="62"/>
      <c r="H75" s="62"/>
      <c r="I75" s="9"/>
      <c r="J75" s="9"/>
      <c r="K75" s="9"/>
      <c r="L75" s="10"/>
    </row>
    <row r="76" spans="2:13" ht="17.25" thickBot="1" x14ac:dyDescent="0.35"/>
    <row r="77" spans="2:13" x14ac:dyDescent="0.3">
      <c r="B77" s="23" t="s">
        <v>45</v>
      </c>
      <c r="C77" s="3"/>
      <c r="D77" s="3"/>
      <c r="E77" s="3"/>
      <c r="F77" s="3"/>
      <c r="G77" s="3"/>
      <c r="H77" s="3"/>
      <c r="I77" s="3"/>
      <c r="J77" s="3"/>
      <c r="K77" s="15" t="s">
        <v>46</v>
      </c>
      <c r="L77" s="16" t="s">
        <v>47</v>
      </c>
      <c r="M77" s="4"/>
    </row>
    <row r="78" spans="2:13" x14ac:dyDescent="0.3">
      <c r="B78" s="24"/>
      <c r="C78" s="6" t="s">
        <v>11</v>
      </c>
      <c r="D78" s="6" t="s">
        <v>48</v>
      </c>
      <c r="E78" s="6"/>
      <c r="F78" s="6">
        <f>AVERAGE(K78:K88)</f>
        <v>170.36363636363637</v>
      </c>
      <c r="G78" s="6"/>
      <c r="H78" s="6"/>
      <c r="I78" s="6"/>
      <c r="J78" s="6"/>
      <c r="K78" s="5">
        <v>165</v>
      </c>
      <c r="L78" s="7">
        <v>96</v>
      </c>
      <c r="M78" s="7"/>
    </row>
    <row r="79" spans="2:13" x14ac:dyDescent="0.3">
      <c r="B79" s="24"/>
      <c r="C79" s="6"/>
      <c r="D79" s="6" t="s">
        <v>49</v>
      </c>
      <c r="E79" s="6"/>
      <c r="F79" s="6">
        <f>AVERAGE(L78:L88)</f>
        <v>82.181818181818187</v>
      </c>
      <c r="G79" s="6"/>
      <c r="H79" s="6"/>
      <c r="I79" s="6"/>
      <c r="J79" s="6"/>
      <c r="K79" s="5">
        <v>172</v>
      </c>
      <c r="L79" s="7">
        <v>92</v>
      </c>
      <c r="M79" s="7"/>
    </row>
    <row r="80" spans="2:13" ht="17.25" thickBot="1" x14ac:dyDescent="0.35">
      <c r="B80" s="24"/>
      <c r="C80" s="6"/>
      <c r="D80" s="6" t="s">
        <v>90</v>
      </c>
      <c r="E80" s="6"/>
      <c r="F80" s="6">
        <f>COUNT(K78:K88)</f>
        <v>11</v>
      </c>
      <c r="G80" s="6"/>
      <c r="H80" s="6"/>
      <c r="I80" s="6"/>
      <c r="J80" s="6"/>
      <c r="K80" s="5">
        <v>160</v>
      </c>
      <c r="L80" s="7">
        <v>88</v>
      </c>
      <c r="M80" s="7"/>
    </row>
    <row r="81" spans="2:13" x14ac:dyDescent="0.3">
      <c r="B81" s="24"/>
      <c r="C81" s="3" t="s">
        <v>50</v>
      </c>
      <c r="D81" s="4" t="s">
        <v>51</v>
      </c>
      <c r="E81" s="6"/>
      <c r="F81" s="6" t="s">
        <v>53</v>
      </c>
      <c r="G81" s="6"/>
      <c r="H81" s="6"/>
      <c r="I81" s="6" t="s">
        <v>55</v>
      </c>
      <c r="J81" s="6"/>
      <c r="K81" s="5">
        <v>186</v>
      </c>
      <c r="L81" s="7">
        <v>74</v>
      </c>
      <c r="M81" s="7"/>
    </row>
    <row r="82" spans="2:13" x14ac:dyDescent="0.3">
      <c r="B82" s="24"/>
      <c r="C82" s="6">
        <f t="shared" ref="C82:C92" si="10">K78-$F$78</f>
        <v>-5.363636363636374</v>
      </c>
      <c r="D82" s="7">
        <f t="shared" ref="D82:D92" si="11">L78-$F$79</f>
        <v>13.818181818181813</v>
      </c>
      <c r="E82" s="6"/>
      <c r="F82" s="6">
        <f>C82*D82</f>
        <v>-74.115702479338964</v>
      </c>
      <c r="G82" s="6"/>
      <c r="H82" s="6"/>
      <c r="I82" s="6">
        <f>C82^2</f>
        <v>28.768595041322424</v>
      </c>
      <c r="J82" s="6"/>
      <c r="K82" s="5">
        <v>185</v>
      </c>
      <c r="L82" s="7">
        <v>90</v>
      </c>
      <c r="M82" s="7"/>
    </row>
    <row r="83" spans="2:13" x14ac:dyDescent="0.3">
      <c r="B83" s="24"/>
      <c r="C83" s="6">
        <f t="shared" si="10"/>
        <v>1.636363636363626</v>
      </c>
      <c r="D83" s="7">
        <f t="shared" si="11"/>
        <v>9.818181818181813</v>
      </c>
      <c r="E83" s="6"/>
      <c r="F83" s="6">
        <f t="shared" ref="F83:F92" si="12">C83*D83</f>
        <v>16.06611570247923</v>
      </c>
      <c r="G83" s="6"/>
      <c r="H83" s="6"/>
      <c r="I83" s="6">
        <f t="shared" ref="I83:I92" si="13">C83^2</f>
        <v>2.6776859504131894</v>
      </c>
      <c r="J83" s="6"/>
      <c r="K83" s="5">
        <v>157</v>
      </c>
      <c r="L83" s="7">
        <v>65</v>
      </c>
      <c r="M83" s="7"/>
    </row>
    <row r="84" spans="2:13" x14ac:dyDescent="0.3">
      <c r="B84" s="24"/>
      <c r="C84" s="6">
        <f t="shared" si="10"/>
        <v>-10.363636363636374</v>
      </c>
      <c r="D84" s="7">
        <f t="shared" si="11"/>
        <v>5.818181818181813</v>
      </c>
      <c r="E84" s="6"/>
      <c r="F84" s="6">
        <f t="shared" si="12"/>
        <v>-60.29752066115703</v>
      </c>
      <c r="G84" s="6"/>
      <c r="H84" s="6"/>
      <c r="I84" s="6">
        <f t="shared" si="13"/>
        <v>107.40495867768617</v>
      </c>
      <c r="J84" s="6"/>
      <c r="K84" s="5">
        <v>155</v>
      </c>
      <c r="L84" s="7">
        <v>78</v>
      </c>
      <c r="M84" s="7"/>
    </row>
    <row r="85" spans="2:13" x14ac:dyDescent="0.3">
      <c r="B85" s="24"/>
      <c r="C85" s="6">
        <f t="shared" si="10"/>
        <v>15.636363636363626</v>
      </c>
      <c r="D85" s="7">
        <f t="shared" si="11"/>
        <v>-8.181818181818187</v>
      </c>
      <c r="E85" s="6"/>
      <c r="F85" s="6">
        <f t="shared" si="12"/>
        <v>-127.93388429752066</v>
      </c>
      <c r="G85" s="6"/>
      <c r="H85" s="6"/>
      <c r="I85" s="6">
        <f t="shared" si="13"/>
        <v>244.49586776859471</v>
      </c>
      <c r="J85" s="6"/>
      <c r="K85" s="5">
        <v>177</v>
      </c>
      <c r="L85" s="7">
        <v>85</v>
      </c>
      <c r="M85" s="7"/>
    </row>
    <row r="86" spans="2:13" x14ac:dyDescent="0.3">
      <c r="B86" s="24"/>
      <c r="C86" s="6">
        <f t="shared" si="10"/>
        <v>14.636363636363626</v>
      </c>
      <c r="D86" s="7">
        <f t="shared" si="11"/>
        <v>7.818181818181813</v>
      </c>
      <c r="E86" s="6"/>
      <c r="F86" s="6">
        <f t="shared" si="12"/>
        <v>114.42975206611554</v>
      </c>
      <c r="G86" s="6"/>
      <c r="H86" s="6"/>
      <c r="I86" s="6">
        <f t="shared" si="13"/>
        <v>214.22314049586745</v>
      </c>
      <c r="J86" s="6"/>
      <c r="K86" s="5">
        <v>171</v>
      </c>
      <c r="L86" s="7">
        <v>82</v>
      </c>
      <c r="M86" s="7"/>
    </row>
    <row r="87" spans="2:13" x14ac:dyDescent="0.3">
      <c r="B87" s="24"/>
      <c r="C87" s="6">
        <f t="shared" si="10"/>
        <v>-13.363636363636374</v>
      </c>
      <c r="D87" s="7">
        <f t="shared" si="11"/>
        <v>-17.181818181818187</v>
      </c>
      <c r="E87" s="6"/>
      <c r="F87" s="6">
        <f t="shared" si="12"/>
        <v>229.61157024793414</v>
      </c>
      <c r="G87" s="6"/>
      <c r="H87" s="6"/>
      <c r="I87" s="6">
        <f t="shared" si="13"/>
        <v>178.5867768595044</v>
      </c>
      <c r="J87" s="6"/>
      <c r="K87" s="5">
        <v>164</v>
      </c>
      <c r="L87" s="7">
        <v>80</v>
      </c>
      <c r="M87" s="7"/>
    </row>
    <row r="88" spans="2:13" ht="17.25" thickBot="1" x14ac:dyDescent="0.35">
      <c r="B88" s="24"/>
      <c r="C88" s="6">
        <f t="shared" si="10"/>
        <v>-15.363636363636374</v>
      </c>
      <c r="D88" s="7">
        <f t="shared" si="11"/>
        <v>-4.181818181818187</v>
      </c>
      <c r="E88" s="6"/>
      <c r="F88" s="6">
        <f t="shared" si="12"/>
        <v>64.247933884297638</v>
      </c>
      <c r="G88" s="6"/>
      <c r="H88" s="6"/>
      <c r="I88" s="6">
        <f t="shared" si="13"/>
        <v>236.04132231404989</v>
      </c>
      <c r="J88" s="6"/>
      <c r="K88" s="8">
        <v>182</v>
      </c>
      <c r="L88" s="10">
        <v>74</v>
      </c>
      <c r="M88" s="7"/>
    </row>
    <row r="89" spans="2:13" x14ac:dyDescent="0.3">
      <c r="B89" s="24"/>
      <c r="C89" s="6">
        <f t="shared" si="10"/>
        <v>6.636363636363626</v>
      </c>
      <c r="D89" s="7">
        <f t="shared" si="11"/>
        <v>2.818181818181813</v>
      </c>
      <c r="E89" s="6"/>
      <c r="F89" s="6">
        <f t="shared" si="12"/>
        <v>18.702479338842913</v>
      </c>
      <c r="G89" s="6"/>
      <c r="H89" s="6"/>
      <c r="I89" s="6">
        <f t="shared" si="13"/>
        <v>44.041322314049452</v>
      </c>
      <c r="J89" s="6"/>
      <c r="K89" s="6"/>
      <c r="L89" s="6"/>
      <c r="M89" s="7"/>
    </row>
    <row r="90" spans="2:13" x14ac:dyDescent="0.3">
      <c r="B90" s="24"/>
      <c r="C90" s="6">
        <f t="shared" si="10"/>
        <v>0.63636363636362603</v>
      </c>
      <c r="D90" s="7">
        <f t="shared" si="11"/>
        <v>-0.18181818181818699</v>
      </c>
      <c r="E90" s="6"/>
      <c r="F90" s="6">
        <f t="shared" si="12"/>
        <v>-0.11570247933884438</v>
      </c>
      <c r="G90" s="6"/>
      <c r="H90" s="6"/>
      <c r="I90" s="6">
        <f t="shared" si="13"/>
        <v>0.40495867768593724</v>
      </c>
      <c r="J90" s="6"/>
      <c r="K90" s="6"/>
      <c r="L90" s="6"/>
      <c r="M90" s="7"/>
    </row>
    <row r="91" spans="2:13" x14ac:dyDescent="0.3">
      <c r="B91" s="24"/>
      <c r="C91" s="6">
        <f t="shared" si="10"/>
        <v>-6.363636363636374</v>
      </c>
      <c r="D91" s="7">
        <f t="shared" si="11"/>
        <v>-2.181818181818187</v>
      </c>
      <c r="E91" s="6"/>
      <c r="F91" s="6">
        <f t="shared" si="12"/>
        <v>13.884297520661212</v>
      </c>
      <c r="G91" s="6"/>
      <c r="H91" s="6"/>
      <c r="I91" s="6">
        <f t="shared" si="13"/>
        <v>40.495867768595176</v>
      </c>
      <c r="J91" s="6"/>
      <c r="K91" s="6"/>
      <c r="L91" s="6"/>
      <c r="M91" s="7"/>
    </row>
    <row r="92" spans="2:13" ht="17.25" thickBot="1" x14ac:dyDescent="0.35">
      <c r="B92" s="24"/>
      <c r="C92" s="9">
        <f t="shared" si="10"/>
        <v>11.636363636363626</v>
      </c>
      <c r="D92" s="10">
        <f t="shared" si="11"/>
        <v>-8.181818181818187</v>
      </c>
      <c r="E92" s="6"/>
      <c r="F92" s="6">
        <f t="shared" si="12"/>
        <v>-95.206611570247915</v>
      </c>
      <c r="G92" s="6"/>
      <c r="H92" s="6"/>
      <c r="I92" s="6">
        <f t="shared" si="13"/>
        <v>135.4049586776857</v>
      </c>
      <c r="J92" s="6"/>
      <c r="K92" s="6"/>
      <c r="L92" s="6"/>
      <c r="M92" s="7"/>
    </row>
    <row r="93" spans="2:13" x14ac:dyDescent="0.3">
      <c r="B93" s="24"/>
      <c r="C93" s="6"/>
      <c r="D93" s="6"/>
      <c r="E93" s="6"/>
      <c r="F93" s="6"/>
      <c r="G93" s="6"/>
      <c r="H93" s="6"/>
      <c r="I93" s="6"/>
      <c r="J93" s="6"/>
      <c r="K93" s="6" t="s">
        <v>89</v>
      </c>
      <c r="L93" s="6"/>
      <c r="M93" s="7"/>
    </row>
    <row r="94" spans="2:13" x14ac:dyDescent="0.3">
      <c r="B94" s="24"/>
      <c r="C94" s="6" t="s">
        <v>52</v>
      </c>
      <c r="D94" s="6"/>
      <c r="E94" s="6">
        <f>SUM(F82:F92)</f>
        <v>99.272727272727295</v>
      </c>
      <c r="F94" s="6"/>
      <c r="G94" s="6"/>
      <c r="H94" s="6"/>
      <c r="I94" s="6"/>
      <c r="J94" s="6"/>
      <c r="K94" s="6">
        <f>(L78-$E$98-$E$97*K78)^2</f>
        <v>203.06775523388282</v>
      </c>
      <c r="L94" s="6"/>
      <c r="M94" s="7"/>
    </row>
    <row r="95" spans="2:13" x14ac:dyDescent="0.3">
      <c r="B95" s="24"/>
      <c r="C95" s="6" t="s">
        <v>54</v>
      </c>
      <c r="D95" s="6"/>
      <c r="E95" s="6">
        <f>SUM(I82:I92)</f>
        <v>1232.5454545454545</v>
      </c>
      <c r="F95" s="6"/>
      <c r="G95" s="6"/>
      <c r="H95" s="6"/>
      <c r="I95" s="6"/>
      <c r="J95" s="6"/>
      <c r="K95" s="6">
        <f>(L79-$E$98-$E$97*K79)^2</f>
        <v>93.82604318008633</v>
      </c>
      <c r="L95" s="6"/>
      <c r="M95" s="7"/>
    </row>
    <row r="96" spans="2:13" x14ac:dyDescent="0.3">
      <c r="B96" s="24"/>
      <c r="C96" s="6"/>
      <c r="D96" s="6"/>
      <c r="E96" s="6"/>
      <c r="F96" s="6"/>
      <c r="G96" s="6"/>
      <c r="H96" s="6"/>
      <c r="I96" s="6"/>
      <c r="J96" s="6"/>
      <c r="K96" s="6">
        <f t="shared" ref="K96:K102" si="14">(L80-$E$98-$E$97*K80)^2</f>
        <v>44.261060548550269</v>
      </c>
      <c r="L96" s="6"/>
      <c r="M96" s="7"/>
    </row>
    <row r="97" spans="2:13" x14ac:dyDescent="0.3">
      <c r="B97" s="24"/>
      <c r="C97" s="22" t="s">
        <v>56</v>
      </c>
      <c r="D97" s="22"/>
      <c r="E97" s="22">
        <f>E94/E95</f>
        <v>8.0542852928160519E-2</v>
      </c>
      <c r="F97" s="6"/>
      <c r="G97" s="6"/>
      <c r="H97" s="6"/>
      <c r="I97" s="6"/>
      <c r="J97" s="6"/>
      <c r="K97" s="6">
        <f t="shared" si="14"/>
        <v>89.136550467011716</v>
      </c>
      <c r="L97" s="6"/>
      <c r="M97" s="7"/>
    </row>
    <row r="98" spans="2:13" x14ac:dyDescent="0.3">
      <c r="B98" s="24"/>
      <c r="C98" s="22" t="s">
        <v>57</v>
      </c>
      <c r="D98" s="22"/>
      <c r="E98" s="22">
        <f>F79-E97*F78</f>
        <v>68.460244873875197</v>
      </c>
      <c r="F98" s="6"/>
      <c r="G98" s="6"/>
      <c r="H98" s="6"/>
      <c r="I98" s="6"/>
      <c r="J98" s="6"/>
      <c r="K98" s="6">
        <f t="shared" si="14"/>
        <v>44.080667453511609</v>
      </c>
      <c r="L98" s="6"/>
      <c r="M98" s="7"/>
    </row>
    <row r="99" spans="2:13" x14ac:dyDescent="0.3">
      <c r="B99" s="24"/>
      <c r="C99" s="6"/>
      <c r="D99" s="6"/>
      <c r="E99" s="6"/>
      <c r="F99" s="6"/>
      <c r="G99" s="6"/>
      <c r="H99" s="6"/>
      <c r="I99" s="6"/>
      <c r="J99" s="6"/>
      <c r="K99" s="6">
        <f t="shared" si="14"/>
        <v>259.38625358316426</v>
      </c>
      <c r="L99" s="6"/>
      <c r="M99" s="7"/>
    </row>
    <row r="100" spans="2:13" x14ac:dyDescent="0.3">
      <c r="B100" s="24"/>
      <c r="C100" s="6" t="s">
        <v>58</v>
      </c>
      <c r="D100" s="6"/>
      <c r="E100" s="6" t="s">
        <v>59</v>
      </c>
      <c r="F100" s="6"/>
      <c r="G100" s="6"/>
      <c r="H100" s="6"/>
      <c r="I100" s="6"/>
      <c r="J100" s="6"/>
      <c r="K100" s="6">
        <f t="shared" si="14"/>
        <v>8.6694152635627582</v>
      </c>
      <c r="L100" s="6"/>
      <c r="M100" s="7"/>
    </row>
    <row r="101" spans="2:13" x14ac:dyDescent="0.3">
      <c r="B101" s="24"/>
      <c r="C101" s="6">
        <f t="shared" ref="C101:C111" si="15">(L78-$F$79)^2</f>
        <v>190.94214876033044</v>
      </c>
      <c r="D101" s="6"/>
      <c r="E101" s="6">
        <f t="shared" ref="E101:E111" si="16">($E$97*K78+$E$98 - $F$79)^2</f>
        <v>0.18662622463080478</v>
      </c>
      <c r="F101" s="6"/>
      <c r="G101" s="6"/>
      <c r="H101" s="6"/>
      <c r="I101" s="6"/>
      <c r="J101" s="6"/>
      <c r="K101" s="6">
        <f t="shared" si="14"/>
        <v>5.2151493898107537</v>
      </c>
      <c r="L101" s="6"/>
      <c r="M101" s="7"/>
    </row>
    <row r="102" spans="2:13" x14ac:dyDescent="0.3">
      <c r="B102" s="24"/>
      <c r="C102" s="6">
        <f t="shared" si="15"/>
        <v>96.396694214875936</v>
      </c>
      <c r="D102" s="6"/>
      <c r="E102" s="6">
        <f t="shared" si="16"/>
        <v>1.737055351346475E-2</v>
      </c>
      <c r="F102" s="6"/>
      <c r="G102" s="6"/>
      <c r="H102" s="6"/>
      <c r="I102" s="6"/>
      <c r="J102" s="6"/>
      <c r="K102" s="6">
        <f t="shared" si="14"/>
        <v>5.4322894948107582E-2</v>
      </c>
      <c r="L102" s="6"/>
      <c r="M102" s="7"/>
    </row>
    <row r="103" spans="2:13" x14ac:dyDescent="0.3">
      <c r="B103" s="24"/>
      <c r="C103" s="6">
        <f t="shared" si="15"/>
        <v>33.851239669421425</v>
      </c>
      <c r="D103" s="6"/>
      <c r="E103" s="6">
        <f t="shared" si="16"/>
        <v>0.69675220204020472</v>
      </c>
      <c r="F103" s="6"/>
      <c r="G103" s="6"/>
      <c r="H103" s="6"/>
      <c r="I103" s="6"/>
      <c r="J103" s="6"/>
      <c r="K103" s="6">
        <f>(L87-$E$98-$E$97*K87)^2</f>
        <v>2.7864715275589753</v>
      </c>
      <c r="L103" s="6"/>
      <c r="M103" s="7"/>
    </row>
    <row r="104" spans="2:13" x14ac:dyDescent="0.3">
      <c r="B104" s="24"/>
      <c r="C104" s="6">
        <f t="shared" si="15"/>
        <v>66.942148760330667</v>
      </c>
      <c r="D104" s="6"/>
      <c r="E104" s="6">
        <f t="shared" si="16"/>
        <v>1.5860816516741074</v>
      </c>
      <c r="F104" s="6"/>
      <c r="G104" s="6"/>
      <c r="H104" s="6"/>
      <c r="I104" s="6"/>
      <c r="J104" s="6"/>
      <c r="K104" s="6">
        <f>(L88-$E$98-$E$97*K88)^2</f>
        <v>83.156965421771332</v>
      </c>
      <c r="L104" s="6"/>
      <c r="M104" s="7"/>
    </row>
    <row r="105" spans="2:13" x14ac:dyDescent="0.3">
      <c r="B105" s="24"/>
      <c r="C105" s="6">
        <f t="shared" si="15"/>
        <v>61.123966942148677</v>
      </c>
      <c r="D105" s="6"/>
      <c r="E105" s="6">
        <f t="shared" si="16"/>
        <v>1.3896978938968838</v>
      </c>
      <c r="F105" s="6"/>
      <c r="G105" s="6"/>
      <c r="H105" s="6"/>
      <c r="I105" s="6"/>
      <c r="J105" s="6"/>
      <c r="K105" s="6"/>
      <c r="L105" s="6"/>
      <c r="M105" s="7"/>
    </row>
    <row r="106" spans="2:13" x14ac:dyDescent="0.3">
      <c r="B106" s="24"/>
      <c r="C106" s="6">
        <f t="shared" si="15"/>
        <v>295.21487603305803</v>
      </c>
      <c r="D106" s="6"/>
      <c r="E106" s="6">
        <f t="shared" si="16"/>
        <v>1.1585194162732229</v>
      </c>
      <c r="F106" s="6"/>
      <c r="G106" s="6" t="s">
        <v>60</v>
      </c>
      <c r="H106" s="6"/>
      <c r="I106" s="6">
        <f>SUM(C101:C111)</f>
        <v>841.63636363636351</v>
      </c>
      <c r="J106" s="6"/>
      <c r="K106" s="6" t="s">
        <v>21</v>
      </c>
      <c r="L106" s="6"/>
      <c r="M106" s="7">
        <f>SUM(K94:K104)</f>
        <v>833.64065496385899</v>
      </c>
    </row>
    <row r="107" spans="2:13" x14ac:dyDescent="0.3">
      <c r="B107" s="24"/>
      <c r="C107" s="6">
        <f t="shared" si="15"/>
        <v>17.487603305785168</v>
      </c>
      <c r="D107" s="6"/>
      <c r="E107" s="6">
        <f t="shared" si="16"/>
        <v>1.5312357373399761</v>
      </c>
      <c r="F107" s="6"/>
      <c r="G107" s="6" t="s">
        <v>61</v>
      </c>
      <c r="H107" s="6"/>
      <c r="I107" s="6">
        <f>SUM(E101:E111)</f>
        <v>7.995708672504672</v>
      </c>
      <c r="J107" s="6"/>
      <c r="K107" s="6"/>
      <c r="L107" s="6"/>
      <c r="M107" s="7"/>
    </row>
    <row r="108" spans="2:13" x14ac:dyDescent="0.3">
      <c r="B108" s="24"/>
      <c r="C108" s="6">
        <f t="shared" si="15"/>
        <v>7.9421487603305492</v>
      </c>
      <c r="D108" s="6"/>
      <c r="E108" s="6">
        <f t="shared" si="16"/>
        <v>0.28570271504094435</v>
      </c>
      <c r="F108" s="6"/>
      <c r="G108" s="6"/>
      <c r="H108" s="6"/>
      <c r="I108" s="6"/>
      <c r="J108" s="6"/>
      <c r="K108" s="6"/>
      <c r="L108" s="6"/>
      <c r="M108" s="7"/>
    </row>
    <row r="109" spans="2:13" x14ac:dyDescent="0.3">
      <c r="B109" s="24"/>
      <c r="C109" s="6">
        <f t="shared" si="15"/>
        <v>3.3057851239671303E-2</v>
      </c>
      <c r="D109" s="6"/>
      <c r="E109" s="6">
        <f t="shared" si="16"/>
        <v>2.6270281548133852E-3</v>
      </c>
      <c r="F109" s="6"/>
      <c r="G109" s="64" t="s">
        <v>62</v>
      </c>
      <c r="H109" s="64"/>
      <c r="I109" s="64">
        <f>I107/I106</f>
        <v>9.5001939293099386E-3</v>
      </c>
      <c r="J109" s="6"/>
      <c r="K109" s="6"/>
      <c r="L109" s="6"/>
      <c r="M109" s="7"/>
    </row>
    <row r="110" spans="2:13" x14ac:dyDescent="0.3">
      <c r="B110" s="24"/>
      <c r="C110" s="6">
        <f t="shared" si="15"/>
        <v>4.760330578512419</v>
      </c>
      <c r="D110" s="6"/>
      <c r="E110" s="6">
        <f t="shared" si="16"/>
        <v>0.26270281548145508</v>
      </c>
      <c r="F110" s="6"/>
      <c r="G110" s="64" t="s">
        <v>91</v>
      </c>
      <c r="H110" s="64"/>
      <c r="I110" s="64">
        <f>M106/(F80-2)</f>
        <v>92.626739440428778</v>
      </c>
      <c r="J110" s="6"/>
      <c r="K110" s="6"/>
      <c r="L110" s="6"/>
      <c r="M110" s="7"/>
    </row>
    <row r="111" spans="2:13" ht="17.25" thickBot="1" x14ac:dyDescent="0.35">
      <c r="B111" s="25"/>
      <c r="C111" s="9">
        <f t="shared" si="15"/>
        <v>66.942148760330667</v>
      </c>
      <c r="D111" s="9"/>
      <c r="E111" s="9">
        <f t="shared" si="16"/>
        <v>0.87839243445879522</v>
      </c>
      <c r="F111" s="9"/>
      <c r="G111" s="9"/>
      <c r="H111" s="9"/>
      <c r="I111" s="9"/>
      <c r="J111" s="9"/>
      <c r="K111" s="9"/>
      <c r="L111" s="9"/>
      <c r="M111" s="10"/>
    </row>
    <row r="112" spans="2:13" ht="17.25" thickBot="1" x14ac:dyDescent="0.35">
      <c r="B112" s="24"/>
      <c r="C112" s="6"/>
      <c r="D112" s="6"/>
      <c r="E112" s="6"/>
      <c r="F112" s="6"/>
      <c r="G112" s="6"/>
      <c r="H112" s="6"/>
      <c r="I112" s="6"/>
      <c r="J112" s="6"/>
      <c r="K112" s="6" t="s">
        <v>64</v>
      </c>
      <c r="L112" s="6" t="s">
        <v>63</v>
      </c>
      <c r="M112" s="7"/>
    </row>
    <row r="113" spans="2:13" x14ac:dyDescent="0.3">
      <c r="B113" s="24"/>
      <c r="C113" s="6" t="s">
        <v>25</v>
      </c>
      <c r="D113" s="6" t="s">
        <v>48</v>
      </c>
      <c r="E113" s="6"/>
      <c r="F113" s="6">
        <f>AVERAGE(L114:L124)</f>
        <v>82.181818181818187</v>
      </c>
      <c r="G113" s="6"/>
      <c r="H113" s="6"/>
      <c r="I113" s="6"/>
      <c r="J113" s="6"/>
      <c r="K113" s="15" t="s">
        <v>46</v>
      </c>
      <c r="L113" s="16" t="s">
        <v>47</v>
      </c>
      <c r="M113" s="7"/>
    </row>
    <row r="114" spans="2:13" x14ac:dyDescent="0.3">
      <c r="B114" s="24"/>
      <c r="C114" s="6"/>
      <c r="D114" s="6" t="s">
        <v>49</v>
      </c>
      <c r="E114" s="6"/>
      <c r="F114" s="6">
        <f>AVERAGE(K114:K124)</f>
        <v>170.36363636363637</v>
      </c>
      <c r="G114" s="6"/>
      <c r="H114" s="6"/>
      <c r="I114" s="6"/>
      <c r="J114" s="6"/>
      <c r="K114" s="5">
        <v>165</v>
      </c>
      <c r="L114" s="7">
        <v>96</v>
      </c>
      <c r="M114" s="7"/>
    </row>
    <row r="115" spans="2:13" ht="17.25" thickBot="1" x14ac:dyDescent="0.35">
      <c r="B115" s="24"/>
      <c r="C115" s="6"/>
      <c r="D115" s="6"/>
      <c r="E115" s="6"/>
      <c r="F115" s="6"/>
      <c r="G115" s="6"/>
      <c r="H115" s="6"/>
      <c r="I115" s="6"/>
      <c r="J115" s="6"/>
      <c r="K115" s="5">
        <v>172</v>
      </c>
      <c r="L115" s="7">
        <v>92</v>
      </c>
      <c r="M115" s="7"/>
    </row>
    <row r="116" spans="2:13" x14ac:dyDescent="0.3">
      <c r="B116" s="24"/>
      <c r="C116" s="3" t="s">
        <v>50</v>
      </c>
      <c r="D116" s="4" t="s">
        <v>51</v>
      </c>
      <c r="E116" s="6"/>
      <c r="F116" s="6" t="s">
        <v>53</v>
      </c>
      <c r="G116" s="6"/>
      <c r="H116" s="6"/>
      <c r="I116" s="6" t="s">
        <v>55</v>
      </c>
      <c r="J116" s="6"/>
      <c r="K116" s="5">
        <v>160</v>
      </c>
      <c r="L116" s="7">
        <v>88</v>
      </c>
      <c r="M116" s="7"/>
    </row>
    <row r="117" spans="2:13" x14ac:dyDescent="0.3">
      <c r="B117" s="24"/>
      <c r="C117" s="6">
        <f t="shared" ref="C117:C127" si="17">L114-$F$113</f>
        <v>13.818181818181813</v>
      </c>
      <c r="D117" s="7">
        <f t="shared" ref="D117:D127" si="18">K114-$F$114</f>
        <v>-5.363636363636374</v>
      </c>
      <c r="E117" s="6"/>
      <c r="F117" s="6">
        <f>C117*D117</f>
        <v>-74.115702479338964</v>
      </c>
      <c r="G117" s="6"/>
      <c r="H117" s="6"/>
      <c r="I117" s="6">
        <f>C117^2</f>
        <v>190.94214876033044</v>
      </c>
      <c r="J117" s="6"/>
      <c r="K117" s="5">
        <v>186</v>
      </c>
      <c r="L117" s="7">
        <v>74</v>
      </c>
      <c r="M117" s="7"/>
    </row>
    <row r="118" spans="2:13" x14ac:dyDescent="0.3">
      <c r="B118" s="24"/>
      <c r="C118" s="6">
        <f t="shared" si="17"/>
        <v>9.818181818181813</v>
      </c>
      <c r="D118" s="7">
        <f t="shared" si="18"/>
        <v>1.636363636363626</v>
      </c>
      <c r="E118" s="6"/>
      <c r="F118" s="6">
        <f t="shared" ref="F118:F127" si="19">C118*D118</f>
        <v>16.06611570247923</v>
      </c>
      <c r="G118" s="6"/>
      <c r="H118" s="6"/>
      <c r="I118" s="6">
        <f t="shared" ref="I118:I127" si="20">C118^2</f>
        <v>96.396694214875936</v>
      </c>
      <c r="J118" s="6"/>
      <c r="K118" s="5">
        <v>185</v>
      </c>
      <c r="L118" s="7">
        <v>90</v>
      </c>
      <c r="M118" s="7"/>
    </row>
    <row r="119" spans="2:13" x14ac:dyDescent="0.3">
      <c r="B119" s="24"/>
      <c r="C119" s="6">
        <f t="shared" si="17"/>
        <v>5.818181818181813</v>
      </c>
      <c r="D119" s="7">
        <f t="shared" si="18"/>
        <v>-10.363636363636374</v>
      </c>
      <c r="E119" s="6"/>
      <c r="F119" s="6">
        <f t="shared" si="19"/>
        <v>-60.29752066115703</v>
      </c>
      <c r="G119" s="6"/>
      <c r="H119" s="6"/>
      <c r="I119" s="6">
        <f t="shared" si="20"/>
        <v>33.851239669421425</v>
      </c>
      <c r="J119" s="6"/>
      <c r="K119" s="5">
        <v>157</v>
      </c>
      <c r="L119" s="7">
        <v>65</v>
      </c>
      <c r="M119" s="7"/>
    </row>
    <row r="120" spans="2:13" x14ac:dyDescent="0.3">
      <c r="B120" s="24"/>
      <c r="C120" s="6">
        <f t="shared" si="17"/>
        <v>-8.181818181818187</v>
      </c>
      <c r="D120" s="7">
        <f t="shared" si="18"/>
        <v>15.636363636363626</v>
      </c>
      <c r="E120" s="6"/>
      <c r="F120" s="6">
        <f t="shared" si="19"/>
        <v>-127.93388429752066</v>
      </c>
      <c r="G120" s="6"/>
      <c r="H120" s="6"/>
      <c r="I120" s="6">
        <f t="shared" si="20"/>
        <v>66.942148760330667</v>
      </c>
      <c r="J120" s="6"/>
      <c r="K120" s="5">
        <v>155</v>
      </c>
      <c r="L120" s="7">
        <v>78</v>
      </c>
      <c r="M120" s="7"/>
    </row>
    <row r="121" spans="2:13" x14ac:dyDescent="0.3">
      <c r="B121" s="24"/>
      <c r="C121" s="6">
        <f t="shared" si="17"/>
        <v>7.818181818181813</v>
      </c>
      <c r="D121" s="7">
        <f t="shared" si="18"/>
        <v>14.636363636363626</v>
      </c>
      <c r="E121" s="6"/>
      <c r="F121" s="6">
        <f t="shared" si="19"/>
        <v>114.42975206611554</v>
      </c>
      <c r="G121" s="6"/>
      <c r="H121" s="6"/>
      <c r="I121" s="6">
        <f t="shared" si="20"/>
        <v>61.123966942148677</v>
      </c>
      <c r="J121" s="6"/>
      <c r="K121" s="5">
        <v>177</v>
      </c>
      <c r="L121" s="7">
        <v>85</v>
      </c>
      <c r="M121" s="7"/>
    </row>
    <row r="122" spans="2:13" x14ac:dyDescent="0.3">
      <c r="B122" s="24"/>
      <c r="C122" s="6">
        <f t="shared" si="17"/>
        <v>-17.181818181818187</v>
      </c>
      <c r="D122" s="7">
        <f t="shared" si="18"/>
        <v>-13.363636363636374</v>
      </c>
      <c r="E122" s="6"/>
      <c r="F122" s="6">
        <f t="shared" si="19"/>
        <v>229.61157024793414</v>
      </c>
      <c r="G122" s="6"/>
      <c r="H122" s="6"/>
      <c r="I122" s="6">
        <f t="shared" si="20"/>
        <v>295.21487603305803</v>
      </c>
      <c r="J122" s="6"/>
      <c r="K122" s="5">
        <v>171</v>
      </c>
      <c r="L122" s="7">
        <v>82</v>
      </c>
      <c r="M122" s="7"/>
    </row>
    <row r="123" spans="2:13" x14ac:dyDescent="0.3">
      <c r="B123" s="24"/>
      <c r="C123" s="6">
        <f t="shared" si="17"/>
        <v>-4.181818181818187</v>
      </c>
      <c r="D123" s="7">
        <f t="shared" si="18"/>
        <v>-15.363636363636374</v>
      </c>
      <c r="E123" s="6"/>
      <c r="F123" s="6">
        <f t="shared" si="19"/>
        <v>64.247933884297638</v>
      </c>
      <c r="G123" s="6"/>
      <c r="H123" s="6"/>
      <c r="I123" s="6">
        <f t="shared" si="20"/>
        <v>17.487603305785168</v>
      </c>
      <c r="J123" s="6"/>
      <c r="K123" s="5">
        <v>164</v>
      </c>
      <c r="L123" s="7">
        <v>80</v>
      </c>
      <c r="M123" s="7"/>
    </row>
    <row r="124" spans="2:13" ht="17.25" thickBot="1" x14ac:dyDescent="0.35">
      <c r="B124" s="24"/>
      <c r="C124" s="6">
        <f t="shared" si="17"/>
        <v>2.818181818181813</v>
      </c>
      <c r="D124" s="7">
        <f t="shared" si="18"/>
        <v>6.636363636363626</v>
      </c>
      <c r="E124" s="6"/>
      <c r="F124" s="6">
        <f t="shared" si="19"/>
        <v>18.702479338842913</v>
      </c>
      <c r="G124" s="6"/>
      <c r="H124" s="6"/>
      <c r="I124" s="6">
        <f t="shared" si="20"/>
        <v>7.9421487603305492</v>
      </c>
      <c r="J124" s="6"/>
      <c r="K124" s="8">
        <v>182</v>
      </c>
      <c r="L124" s="10">
        <v>74</v>
      </c>
      <c r="M124" s="7"/>
    </row>
    <row r="125" spans="2:13" x14ac:dyDescent="0.3">
      <c r="B125" s="24"/>
      <c r="C125" s="6">
        <f t="shared" si="17"/>
        <v>-0.18181818181818699</v>
      </c>
      <c r="D125" s="7">
        <f t="shared" si="18"/>
        <v>0.63636363636362603</v>
      </c>
      <c r="E125" s="6"/>
      <c r="F125" s="6">
        <f t="shared" si="19"/>
        <v>-0.11570247933884438</v>
      </c>
      <c r="G125" s="6"/>
      <c r="H125" s="6"/>
      <c r="I125" s="6">
        <f t="shared" si="20"/>
        <v>3.3057851239671303E-2</v>
      </c>
      <c r="J125" s="6"/>
      <c r="K125" s="6"/>
      <c r="L125" s="6"/>
      <c r="M125" s="7"/>
    </row>
    <row r="126" spans="2:13" x14ac:dyDescent="0.3">
      <c r="B126" s="24"/>
      <c r="C126" s="6">
        <f t="shared" si="17"/>
        <v>-2.181818181818187</v>
      </c>
      <c r="D126" s="7">
        <f t="shared" si="18"/>
        <v>-6.363636363636374</v>
      </c>
      <c r="E126" s="6"/>
      <c r="F126" s="6">
        <f t="shared" si="19"/>
        <v>13.884297520661212</v>
      </c>
      <c r="G126" s="6"/>
      <c r="H126" s="6"/>
      <c r="I126" s="6">
        <f t="shared" si="20"/>
        <v>4.760330578512419</v>
      </c>
      <c r="J126" s="6"/>
      <c r="K126" s="6">
        <f>CORREL(L114:L124,K114:K124)</f>
        <v>9.7468938279381759E-2</v>
      </c>
      <c r="L126" s="6"/>
      <c r="M126" s="7"/>
    </row>
    <row r="127" spans="2:13" ht="17.25" thickBot="1" x14ac:dyDescent="0.35">
      <c r="B127" s="24"/>
      <c r="C127" s="9">
        <f t="shared" si="17"/>
        <v>-8.181818181818187</v>
      </c>
      <c r="D127" s="10">
        <f t="shared" si="18"/>
        <v>11.636363636363626</v>
      </c>
      <c r="E127" s="6"/>
      <c r="F127" s="6">
        <f t="shared" si="19"/>
        <v>-95.206611570247915</v>
      </c>
      <c r="G127" s="6"/>
      <c r="H127" s="6"/>
      <c r="I127" s="6">
        <f t="shared" si="20"/>
        <v>66.942148760330667</v>
      </c>
      <c r="J127" s="6"/>
      <c r="K127" s="6"/>
      <c r="L127" s="6"/>
      <c r="M127" s="7"/>
    </row>
    <row r="128" spans="2:13" x14ac:dyDescent="0.3">
      <c r="B128" s="24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"/>
    </row>
    <row r="129" spans="2:13" x14ac:dyDescent="0.3">
      <c r="B129" s="24"/>
      <c r="C129" s="6" t="s">
        <v>52</v>
      </c>
      <c r="D129" s="6"/>
      <c r="E129" s="6">
        <f>SUM(F117:F127)</f>
        <v>99.272727272727295</v>
      </c>
      <c r="F129" s="6"/>
      <c r="G129" s="6"/>
      <c r="H129" s="6"/>
      <c r="I129" s="6"/>
      <c r="J129" s="6"/>
      <c r="K129" s="6" t="s">
        <v>89</v>
      </c>
      <c r="L129" s="6"/>
      <c r="M129" s="7"/>
    </row>
    <row r="130" spans="2:13" x14ac:dyDescent="0.3">
      <c r="B130" s="24"/>
      <c r="C130" s="6" t="s">
        <v>54</v>
      </c>
      <c r="D130" s="6"/>
      <c r="E130" s="6">
        <f>SUM(I117:I127)</f>
        <v>841.63636363636351</v>
      </c>
      <c r="F130" s="6"/>
      <c r="G130" s="6"/>
      <c r="H130" s="6"/>
      <c r="I130" s="6"/>
      <c r="J130" s="6"/>
      <c r="K130" s="6">
        <f>(K114-$E$133-$E$132*L114)^2</f>
        <v>48.909309662225787</v>
      </c>
      <c r="L130" s="6"/>
      <c r="M130" s="7"/>
    </row>
    <row r="131" spans="2:13" x14ac:dyDescent="0.3">
      <c r="B131" s="24"/>
      <c r="C131" s="6"/>
      <c r="D131" s="6"/>
      <c r="E131" s="6"/>
      <c r="F131" s="6"/>
      <c r="G131" s="6"/>
      <c r="H131" s="6"/>
      <c r="I131" s="6"/>
      <c r="J131" s="6"/>
      <c r="K131" s="6">
        <f t="shared" ref="K131:K140" si="21">(K115-$E$133-$E$132*L115)^2</f>
        <v>0.2287604127771064</v>
      </c>
      <c r="L131" s="6"/>
      <c r="M131" s="7"/>
    </row>
    <row r="132" spans="2:13" x14ac:dyDescent="0.3">
      <c r="B132" s="24"/>
      <c r="C132" s="22" t="s">
        <v>56</v>
      </c>
      <c r="D132" s="22"/>
      <c r="E132" s="22">
        <f>E129/E130</f>
        <v>0.117952041477641</v>
      </c>
      <c r="F132" s="6"/>
      <c r="G132" s="6"/>
      <c r="H132" s="6"/>
      <c r="I132" s="6"/>
      <c r="J132" s="6"/>
      <c r="K132" s="6">
        <f t="shared" si="21"/>
        <v>122.10035159726671</v>
      </c>
      <c r="L132" s="6"/>
      <c r="M132" s="7"/>
    </row>
    <row r="133" spans="2:13" x14ac:dyDescent="0.3">
      <c r="B133" s="24"/>
      <c r="C133" s="22" t="s">
        <v>57</v>
      </c>
      <c r="D133" s="22"/>
      <c r="E133" s="22">
        <f>F114-E132*F113</f>
        <v>160.67012313674661</v>
      </c>
      <c r="F133" s="6"/>
      <c r="G133" s="6"/>
      <c r="H133" s="6"/>
      <c r="I133" s="6"/>
      <c r="J133" s="6"/>
      <c r="K133" s="6">
        <f t="shared" si="21"/>
        <v>275.60733839063244</v>
      </c>
      <c r="L133" s="6"/>
      <c r="M133" s="7"/>
    </row>
    <row r="134" spans="2:13" x14ac:dyDescent="0.3">
      <c r="B134" s="24"/>
      <c r="C134" s="6"/>
      <c r="D134" s="6"/>
      <c r="E134" s="6"/>
      <c r="F134" s="6"/>
      <c r="G134" s="6"/>
      <c r="H134" s="6"/>
      <c r="I134" s="6"/>
      <c r="J134" s="6"/>
      <c r="K134" s="6">
        <f t="shared" si="21"/>
        <v>188.07909321422687</v>
      </c>
      <c r="L134" s="6"/>
      <c r="M134" s="7"/>
    </row>
    <row r="135" spans="2:13" x14ac:dyDescent="0.3">
      <c r="B135" s="24"/>
      <c r="C135" s="6" t="s">
        <v>58</v>
      </c>
      <c r="D135" s="6"/>
      <c r="E135" s="6" t="s">
        <v>59</v>
      </c>
      <c r="F135" s="6"/>
      <c r="G135" s="6"/>
      <c r="H135" s="6"/>
      <c r="I135" s="6"/>
      <c r="J135" s="6"/>
      <c r="K135" s="6">
        <f t="shared" si="21"/>
        <v>128.52770125278875</v>
      </c>
      <c r="L135" s="6"/>
      <c r="M135" s="7"/>
    </row>
    <row r="136" spans="2:13" x14ac:dyDescent="0.3">
      <c r="B136" s="24"/>
      <c r="C136" s="6">
        <f t="shared" ref="C136:C146" si="22">(K114-$F$114)^2</f>
        <v>28.768595041322424</v>
      </c>
      <c r="D136" s="6"/>
      <c r="E136" s="6">
        <f t="shared" ref="E136:E146" si="23">($E$132*L114+$E$133 - $F$114)^2</f>
        <v>2.6565177949283001</v>
      </c>
      <c r="F136" s="6"/>
      <c r="G136" s="6"/>
      <c r="H136" s="6"/>
      <c r="I136" s="6"/>
      <c r="J136" s="6"/>
      <c r="K136" s="6">
        <f t="shared" si="21"/>
        <v>221.12827188956595</v>
      </c>
      <c r="L136" s="6"/>
      <c r="M136" s="7"/>
    </row>
    <row r="137" spans="2:13" x14ac:dyDescent="0.3">
      <c r="B137" s="24"/>
      <c r="C137" s="6">
        <f t="shared" si="22"/>
        <v>2.6776859504131894</v>
      </c>
      <c r="D137" s="6"/>
      <c r="E137" s="6">
        <f t="shared" si="23"/>
        <v>1.3411367538107382</v>
      </c>
      <c r="F137" s="6"/>
      <c r="G137" s="6"/>
      <c r="H137" s="6"/>
      <c r="I137" s="6"/>
      <c r="J137" s="6"/>
      <c r="K137" s="6">
        <f t="shared" si="21"/>
        <v>39.739827683317806</v>
      </c>
      <c r="L137" s="6"/>
      <c r="M137" s="7"/>
    </row>
    <row r="138" spans="2:13" x14ac:dyDescent="0.3">
      <c r="B138" s="24"/>
      <c r="C138" s="6">
        <f t="shared" si="22"/>
        <v>107.40495867768617</v>
      </c>
      <c r="D138" s="6"/>
      <c r="E138" s="6">
        <f t="shared" si="23"/>
        <v>0.47096160353301353</v>
      </c>
      <c r="F138" s="6"/>
      <c r="G138" s="6"/>
      <c r="H138" s="6"/>
      <c r="I138" s="6"/>
      <c r="J138" s="6"/>
      <c r="K138" s="6">
        <f t="shared" si="21"/>
        <v>0.43271328841096174</v>
      </c>
      <c r="L138" s="6"/>
      <c r="M138" s="7"/>
    </row>
    <row r="139" spans="2:13" x14ac:dyDescent="0.3">
      <c r="B139" s="24"/>
      <c r="C139" s="6">
        <f t="shared" si="22"/>
        <v>244.49586776859471</v>
      </c>
      <c r="D139" s="6"/>
      <c r="E139" s="6">
        <f t="shared" si="23"/>
        <v>0.9313449679241329</v>
      </c>
      <c r="F139" s="6"/>
      <c r="G139" s="6"/>
      <c r="H139" s="6"/>
      <c r="I139" s="6"/>
      <c r="J139" s="6"/>
      <c r="K139" s="6">
        <f t="shared" si="21"/>
        <v>37.286734270002206</v>
      </c>
      <c r="L139" s="6"/>
      <c r="M139" s="7"/>
    </row>
    <row r="140" spans="2:13" x14ac:dyDescent="0.3">
      <c r="B140" s="24"/>
      <c r="C140" s="6">
        <f t="shared" si="22"/>
        <v>214.22314049586745</v>
      </c>
      <c r="D140" s="6"/>
      <c r="E140" s="6">
        <f t="shared" si="23"/>
        <v>0.85039844231690775</v>
      </c>
      <c r="F140" s="6"/>
      <c r="G140" s="6"/>
      <c r="H140" s="6"/>
      <c r="I140" s="6"/>
      <c r="J140" s="6"/>
      <c r="K140" s="6">
        <f t="shared" si="21"/>
        <v>158.79593203936875</v>
      </c>
      <c r="L140" s="6"/>
      <c r="M140" s="7"/>
    </row>
    <row r="141" spans="2:13" x14ac:dyDescent="0.3">
      <c r="B141" s="24"/>
      <c r="C141" s="6">
        <f t="shared" si="22"/>
        <v>178.5867768595044</v>
      </c>
      <c r="D141" s="6"/>
      <c r="E141" s="6">
        <f t="shared" si="23"/>
        <v>4.1072313085454146</v>
      </c>
      <c r="F141" s="6"/>
      <c r="G141" s="6"/>
      <c r="H141" s="6"/>
      <c r="I141" s="6"/>
      <c r="J141" s="6"/>
      <c r="K141" s="6"/>
      <c r="L141" s="6"/>
      <c r="M141" s="7"/>
    </row>
    <row r="142" spans="2:13" x14ac:dyDescent="0.3">
      <c r="B142" s="24"/>
      <c r="C142" s="6">
        <f t="shared" si="22"/>
        <v>236.04132231404989</v>
      </c>
      <c r="D142" s="6"/>
      <c r="E142" s="6">
        <f t="shared" si="23"/>
        <v>0.24329950026264191</v>
      </c>
      <c r="F142" s="6"/>
      <c r="G142" s="6" t="s">
        <v>60</v>
      </c>
      <c r="H142" s="6"/>
      <c r="I142" s="6">
        <f>SUM(C136:C146)</f>
        <v>1232.5454545454545</v>
      </c>
      <c r="J142" s="6"/>
      <c r="K142" s="6" t="s">
        <v>21</v>
      </c>
      <c r="L142" s="6"/>
      <c r="M142" s="7">
        <f>SUM(K130:K140)</f>
        <v>1220.8360337005834</v>
      </c>
    </row>
    <row r="143" spans="2:13" x14ac:dyDescent="0.3">
      <c r="B143" s="24"/>
      <c r="C143" s="6">
        <f t="shared" si="22"/>
        <v>44.041322314049452</v>
      </c>
      <c r="D143" s="6"/>
      <c r="E143" s="6">
        <f t="shared" si="23"/>
        <v>0.11049660668829321</v>
      </c>
      <c r="F143" s="6"/>
      <c r="G143" s="6" t="s">
        <v>61</v>
      </c>
      <c r="H143" s="6"/>
      <c r="I143" s="6">
        <f>SUM(E136:E146)</f>
        <v>11.709420844871355</v>
      </c>
      <c r="J143" s="6"/>
      <c r="K143" s="6"/>
      <c r="L143" s="6"/>
      <c r="M143" s="7"/>
    </row>
    <row r="144" spans="2:13" x14ac:dyDescent="0.3">
      <c r="B144" s="24"/>
      <c r="C144" s="6">
        <f t="shared" si="22"/>
        <v>0.40495867768593724</v>
      </c>
      <c r="D144" s="6"/>
      <c r="E144" s="6">
        <f t="shared" si="23"/>
        <v>4.5992344094948471E-4</v>
      </c>
      <c r="F144" s="6"/>
      <c r="G144" s="6"/>
      <c r="H144" s="6"/>
      <c r="I144" s="6"/>
      <c r="J144" s="6"/>
      <c r="K144" s="6"/>
      <c r="L144" s="6"/>
      <c r="M144" s="7"/>
    </row>
    <row r="145" spans="2:13" x14ac:dyDescent="0.3">
      <c r="B145" s="24"/>
      <c r="C145" s="6">
        <f t="shared" si="22"/>
        <v>40.495867768595176</v>
      </c>
      <c r="D145" s="6"/>
      <c r="E145" s="6">
        <f t="shared" si="23"/>
        <v>6.6228975496828199E-2</v>
      </c>
      <c r="F145" s="6"/>
      <c r="G145" s="64" t="s">
        <v>62</v>
      </c>
      <c r="H145" s="64"/>
      <c r="I145" s="64">
        <f>I143/I142</f>
        <v>9.5001939293099941E-3</v>
      </c>
      <c r="J145" s="6"/>
      <c r="K145" s="6"/>
      <c r="L145" s="6"/>
      <c r="M145" s="7"/>
    </row>
    <row r="146" spans="2:13" ht="17.25" thickBot="1" x14ac:dyDescent="0.35">
      <c r="B146" s="25"/>
      <c r="C146" s="9">
        <f t="shared" si="22"/>
        <v>135.4049586776857</v>
      </c>
      <c r="D146" s="9"/>
      <c r="E146" s="9">
        <f t="shared" si="23"/>
        <v>0.9313449679241329</v>
      </c>
      <c r="F146" s="9"/>
      <c r="G146" s="62" t="s">
        <v>91</v>
      </c>
      <c r="H146" s="62"/>
      <c r="I146" s="62">
        <f>M142/9</f>
        <v>135.64844818895369</v>
      </c>
      <c r="J146" s="9"/>
      <c r="K146" s="9"/>
      <c r="L146" s="9"/>
      <c r="M146" s="10"/>
    </row>
    <row r="147" spans="2:13" ht="17.25" thickBot="1" x14ac:dyDescent="0.35"/>
    <row r="148" spans="2:13" ht="17.25" thickBot="1" x14ac:dyDescent="0.35">
      <c r="B148" s="23" t="s">
        <v>65</v>
      </c>
      <c r="C148" s="3" t="s">
        <v>48</v>
      </c>
      <c r="D148" s="3"/>
      <c r="E148" s="3">
        <f>AVERAGE(L150:L159)</f>
        <v>17.2</v>
      </c>
      <c r="F148" s="3"/>
      <c r="G148" s="3"/>
      <c r="H148" s="3"/>
      <c r="I148" s="3"/>
      <c r="J148" s="3"/>
      <c r="K148" s="3"/>
      <c r="L148" s="3"/>
      <c r="M148" s="4"/>
    </row>
    <row r="149" spans="2:13" x14ac:dyDescent="0.3">
      <c r="B149" s="24"/>
      <c r="C149" s="6" t="s">
        <v>49</v>
      </c>
      <c r="D149" s="6"/>
      <c r="E149" s="6">
        <f>AVERAGE(M150:M159)</f>
        <v>315.5</v>
      </c>
      <c r="F149" s="6"/>
      <c r="G149" s="6"/>
      <c r="H149" s="6"/>
      <c r="I149" s="6"/>
      <c r="J149" s="6"/>
      <c r="K149" s="6"/>
      <c r="L149" s="66" t="s">
        <v>63</v>
      </c>
      <c r="M149" s="67" t="s">
        <v>64</v>
      </c>
    </row>
    <row r="150" spans="2:13" ht="17.25" thickBot="1" x14ac:dyDescent="0.35">
      <c r="B150" s="24"/>
      <c r="C150" s="6"/>
      <c r="D150" s="6"/>
      <c r="E150" s="6"/>
      <c r="F150" s="6"/>
      <c r="G150" s="6"/>
      <c r="H150" s="6"/>
      <c r="I150" s="6"/>
      <c r="J150" s="6"/>
      <c r="K150" s="6"/>
      <c r="L150" s="5">
        <v>22</v>
      </c>
      <c r="M150" s="7">
        <v>570</v>
      </c>
    </row>
    <row r="151" spans="2:13" x14ac:dyDescent="0.3">
      <c r="B151" s="24"/>
      <c r="C151" s="3" t="s">
        <v>50</v>
      </c>
      <c r="D151" s="4" t="s">
        <v>51</v>
      </c>
      <c r="E151" s="6"/>
      <c r="F151" s="6" t="s">
        <v>53</v>
      </c>
      <c r="G151" s="6"/>
      <c r="H151" s="6"/>
      <c r="I151" s="6" t="s">
        <v>55</v>
      </c>
      <c r="J151" s="6"/>
      <c r="K151" s="6"/>
      <c r="L151" s="5">
        <v>20</v>
      </c>
      <c r="M151" s="7">
        <v>355</v>
      </c>
    </row>
    <row r="152" spans="2:13" x14ac:dyDescent="0.3">
      <c r="B152" s="24"/>
      <c r="C152" s="6">
        <f t="shared" ref="C152:C161" si="24">L150-$E$148</f>
        <v>4.8000000000000007</v>
      </c>
      <c r="D152" s="7">
        <f t="shared" ref="D152:D161" si="25">M150-$E$149</f>
        <v>254.5</v>
      </c>
      <c r="E152" s="6"/>
      <c r="F152" s="6">
        <f>C152*D152</f>
        <v>1221.6000000000001</v>
      </c>
      <c r="G152" s="6"/>
      <c r="H152" s="6"/>
      <c r="I152" s="6">
        <f>C152^2</f>
        <v>23.040000000000006</v>
      </c>
      <c r="J152" s="6"/>
      <c r="K152" s="6"/>
      <c r="L152" s="5">
        <v>15</v>
      </c>
      <c r="M152" s="7">
        <v>235</v>
      </c>
    </row>
    <row r="153" spans="2:13" x14ac:dyDescent="0.3">
      <c r="B153" s="24"/>
      <c r="C153" s="6">
        <f t="shared" si="24"/>
        <v>2.8000000000000007</v>
      </c>
      <c r="D153" s="7">
        <f t="shared" si="25"/>
        <v>39.5</v>
      </c>
      <c r="E153" s="6"/>
      <c r="F153" s="6">
        <f t="shared" ref="F153:F161" si="26">C153*D153</f>
        <v>110.60000000000002</v>
      </c>
      <c r="G153" s="6"/>
      <c r="H153" s="6"/>
      <c r="I153" s="6">
        <f t="shared" ref="I153:I161" si="27">C153^2</f>
        <v>7.8400000000000043</v>
      </c>
      <c r="J153" s="6"/>
      <c r="K153" s="6"/>
      <c r="L153" s="5">
        <v>14</v>
      </c>
      <c r="M153" s="7">
        <v>160</v>
      </c>
    </row>
    <row r="154" spans="2:13" x14ac:dyDescent="0.3">
      <c r="B154" s="24"/>
      <c r="C154" s="6">
        <f t="shared" si="24"/>
        <v>-2.1999999999999993</v>
      </c>
      <c r="D154" s="7">
        <f t="shared" si="25"/>
        <v>-80.5</v>
      </c>
      <c r="E154" s="6"/>
      <c r="F154" s="6">
        <f t="shared" si="26"/>
        <v>177.09999999999994</v>
      </c>
      <c r="G154" s="6"/>
      <c r="H154" s="6"/>
      <c r="I154" s="6">
        <f t="shared" si="27"/>
        <v>4.8399999999999972</v>
      </c>
      <c r="J154" s="6"/>
      <c r="K154" s="6"/>
      <c r="L154" s="5">
        <v>10</v>
      </c>
      <c r="M154" s="7">
        <v>140</v>
      </c>
    </row>
    <row r="155" spans="2:13" x14ac:dyDescent="0.3">
      <c r="B155" s="24"/>
      <c r="C155" s="6">
        <f t="shared" si="24"/>
        <v>-3.1999999999999993</v>
      </c>
      <c r="D155" s="7">
        <f t="shared" si="25"/>
        <v>-155.5</v>
      </c>
      <c r="E155" s="6"/>
      <c r="F155" s="6">
        <f t="shared" si="26"/>
        <v>497.59999999999991</v>
      </c>
      <c r="G155" s="6"/>
      <c r="H155" s="6"/>
      <c r="I155" s="6">
        <f t="shared" si="27"/>
        <v>10.239999999999995</v>
      </c>
      <c r="J155" s="6"/>
      <c r="K155" s="6"/>
      <c r="L155" s="5">
        <v>12</v>
      </c>
      <c r="M155" s="7">
        <v>130</v>
      </c>
    </row>
    <row r="156" spans="2:13" x14ac:dyDescent="0.3">
      <c r="B156" s="24"/>
      <c r="C156" s="6">
        <f t="shared" si="24"/>
        <v>-7.1999999999999993</v>
      </c>
      <c r="D156" s="7">
        <f t="shared" si="25"/>
        <v>-175.5</v>
      </c>
      <c r="E156" s="6"/>
      <c r="F156" s="6">
        <f t="shared" si="26"/>
        <v>1263.5999999999999</v>
      </c>
      <c r="G156" s="6"/>
      <c r="H156" s="6"/>
      <c r="I156" s="6">
        <f t="shared" si="27"/>
        <v>51.839999999999989</v>
      </c>
      <c r="J156" s="6"/>
      <c r="K156" s="6"/>
      <c r="L156" s="5">
        <v>18</v>
      </c>
      <c r="M156" s="7">
        <v>311</v>
      </c>
    </row>
    <row r="157" spans="2:13" x14ac:dyDescent="0.3">
      <c r="B157" s="24"/>
      <c r="C157" s="6">
        <f t="shared" si="24"/>
        <v>-5.1999999999999993</v>
      </c>
      <c r="D157" s="7">
        <f t="shared" si="25"/>
        <v>-185.5</v>
      </c>
      <c r="E157" s="6"/>
      <c r="F157" s="6">
        <f t="shared" si="26"/>
        <v>964.59999999999991</v>
      </c>
      <c r="G157" s="6"/>
      <c r="H157" s="6"/>
      <c r="I157" s="6">
        <f t="shared" si="27"/>
        <v>27.039999999999992</v>
      </c>
      <c r="J157" s="6"/>
      <c r="K157" s="6"/>
      <c r="L157" s="5">
        <v>21</v>
      </c>
      <c r="M157" s="7">
        <v>404</v>
      </c>
    </row>
    <row r="158" spans="2:13" x14ac:dyDescent="0.3">
      <c r="B158" s="24"/>
      <c r="C158" s="6">
        <f t="shared" si="24"/>
        <v>0.80000000000000071</v>
      </c>
      <c r="D158" s="7">
        <f t="shared" si="25"/>
        <v>-4.5</v>
      </c>
      <c r="E158" s="6"/>
      <c r="F158" s="6">
        <f t="shared" si="26"/>
        <v>-3.6000000000000032</v>
      </c>
      <c r="G158" s="6"/>
      <c r="H158" s="6"/>
      <c r="I158" s="6">
        <f t="shared" si="27"/>
        <v>0.64000000000000112</v>
      </c>
      <c r="J158" s="6"/>
      <c r="K158" s="6"/>
      <c r="L158" s="5">
        <v>25</v>
      </c>
      <c r="M158" s="7">
        <v>650</v>
      </c>
    </row>
    <row r="159" spans="2:13" ht="17.25" thickBot="1" x14ac:dyDescent="0.35">
      <c r="B159" s="24"/>
      <c r="C159" s="6">
        <f t="shared" si="24"/>
        <v>3.8000000000000007</v>
      </c>
      <c r="D159" s="7">
        <f t="shared" si="25"/>
        <v>88.5</v>
      </c>
      <c r="E159" s="6"/>
      <c r="F159" s="6">
        <f t="shared" si="26"/>
        <v>336.30000000000007</v>
      </c>
      <c r="G159" s="6"/>
      <c r="H159" s="6"/>
      <c r="I159" s="6">
        <f t="shared" si="27"/>
        <v>14.440000000000005</v>
      </c>
      <c r="J159" s="6"/>
      <c r="K159" s="6"/>
      <c r="L159" s="8">
        <v>15</v>
      </c>
      <c r="M159" s="10">
        <v>200</v>
      </c>
    </row>
    <row r="160" spans="2:13" x14ac:dyDescent="0.3">
      <c r="B160" s="24"/>
      <c r="C160" s="6">
        <f t="shared" si="24"/>
        <v>7.8000000000000007</v>
      </c>
      <c r="D160" s="7">
        <f t="shared" si="25"/>
        <v>334.5</v>
      </c>
      <c r="E160" s="6"/>
      <c r="F160" s="6">
        <f t="shared" si="26"/>
        <v>2609.1000000000004</v>
      </c>
      <c r="G160" s="6"/>
      <c r="H160" s="6"/>
      <c r="I160" s="6">
        <f t="shared" si="27"/>
        <v>60.840000000000011</v>
      </c>
      <c r="J160" s="6"/>
      <c r="K160" s="6"/>
      <c r="L160" s="6"/>
      <c r="M160" s="7"/>
    </row>
    <row r="161" spans="2:13" ht="17.25" thickBot="1" x14ac:dyDescent="0.35">
      <c r="B161" s="24"/>
      <c r="C161" s="9">
        <f t="shared" si="24"/>
        <v>-2.1999999999999993</v>
      </c>
      <c r="D161" s="10">
        <f t="shared" si="25"/>
        <v>-115.5</v>
      </c>
      <c r="E161" s="6"/>
      <c r="F161" s="6">
        <f t="shared" si="26"/>
        <v>254.09999999999991</v>
      </c>
      <c r="G161" s="6"/>
      <c r="H161" s="6"/>
      <c r="I161" s="6">
        <f t="shared" si="27"/>
        <v>4.8399999999999972</v>
      </c>
      <c r="J161" s="6"/>
      <c r="K161" s="6"/>
      <c r="L161" s="6"/>
      <c r="M161" s="7"/>
    </row>
    <row r="162" spans="2:13" x14ac:dyDescent="0.3">
      <c r="B162" s="24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7"/>
    </row>
    <row r="163" spans="2:13" x14ac:dyDescent="0.3">
      <c r="B163" s="24"/>
      <c r="C163" s="6" t="s">
        <v>52</v>
      </c>
      <c r="D163" s="6"/>
      <c r="E163" s="6">
        <f>SUM(F152:F161)</f>
        <v>7431</v>
      </c>
      <c r="F163" s="6"/>
      <c r="G163" s="6"/>
      <c r="H163" s="6"/>
      <c r="I163" s="6"/>
      <c r="J163" s="6"/>
      <c r="K163" s="6"/>
      <c r="L163" s="6"/>
      <c r="M163" s="7"/>
    </row>
    <row r="164" spans="2:13" x14ac:dyDescent="0.3">
      <c r="B164" s="24"/>
      <c r="C164" s="6" t="s">
        <v>54</v>
      </c>
      <c r="D164" s="6"/>
      <c r="E164" s="6">
        <f>SUM(I152:I161)</f>
        <v>205.6</v>
      </c>
      <c r="F164" s="6"/>
      <c r="G164" s="6"/>
      <c r="H164" s="6"/>
      <c r="I164" s="6"/>
      <c r="J164" s="6"/>
      <c r="K164" s="6"/>
      <c r="L164" s="6"/>
      <c r="M164" s="7"/>
    </row>
    <row r="165" spans="2:13" x14ac:dyDescent="0.3">
      <c r="B165" s="24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7"/>
    </row>
    <row r="166" spans="2:13" x14ac:dyDescent="0.3">
      <c r="B166" s="24"/>
      <c r="C166" s="64" t="s">
        <v>56</v>
      </c>
      <c r="D166" s="64"/>
      <c r="E166" s="64">
        <f>E163/E164</f>
        <v>36.142996108949418</v>
      </c>
      <c r="F166" s="6"/>
      <c r="G166" s="6"/>
      <c r="H166" s="6"/>
      <c r="I166" s="6"/>
      <c r="J166" s="6"/>
      <c r="K166" s="6"/>
      <c r="L166" s="6"/>
      <c r="M166" s="7"/>
    </row>
    <row r="167" spans="2:13" x14ac:dyDescent="0.3">
      <c r="B167" s="24"/>
      <c r="C167" s="64" t="s">
        <v>57</v>
      </c>
      <c r="D167" s="64"/>
      <c r="E167" s="64">
        <f>E149-E148*E166</f>
        <v>-306.15953307392999</v>
      </c>
      <c r="F167" s="6"/>
      <c r="G167" s="6"/>
      <c r="H167" s="6"/>
      <c r="I167" s="6"/>
      <c r="J167" s="6"/>
      <c r="K167" s="6"/>
      <c r="L167" s="6"/>
      <c r="M167" s="7"/>
    </row>
    <row r="168" spans="2:13" x14ac:dyDescent="0.3">
      <c r="B168" s="24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"/>
    </row>
    <row r="169" spans="2:13" x14ac:dyDescent="0.3">
      <c r="B169" s="24"/>
      <c r="C169" s="6" t="s">
        <v>58</v>
      </c>
      <c r="D169" s="6"/>
      <c r="E169" s="6" t="s">
        <v>59</v>
      </c>
      <c r="F169" s="6"/>
      <c r="G169" s="6"/>
      <c r="H169" s="6"/>
      <c r="I169" s="6"/>
      <c r="J169" s="6"/>
      <c r="K169" s="6"/>
      <c r="L169" s="6"/>
      <c r="M169" s="7"/>
    </row>
    <row r="170" spans="2:13" x14ac:dyDescent="0.3">
      <c r="B170" s="24"/>
      <c r="C170" s="6">
        <f t="shared" ref="C170:C179" si="28">(M150-$E$149)^2</f>
        <v>64770.25</v>
      </c>
      <c r="D170" s="6"/>
      <c r="E170" s="6">
        <f t="shared" ref="E170:E179" si="29">($E$167+$E$166*L150-$E$149)^2</f>
        <v>30097.524504534507</v>
      </c>
      <c r="F170" s="6"/>
      <c r="G170" s="6"/>
      <c r="H170" s="6"/>
      <c r="I170" s="6"/>
      <c r="J170" s="6"/>
      <c r="K170" s="6"/>
      <c r="L170" s="6"/>
      <c r="M170" s="7"/>
    </row>
    <row r="171" spans="2:13" x14ac:dyDescent="0.3">
      <c r="B171" s="24"/>
      <c r="C171" s="6">
        <f t="shared" si="28"/>
        <v>1560.25</v>
      </c>
      <c r="D171" s="6"/>
      <c r="E171" s="6">
        <f t="shared" si="29"/>
        <v>10241.51875501523</v>
      </c>
      <c r="F171" s="6"/>
      <c r="G171" s="6"/>
      <c r="H171" s="6"/>
      <c r="I171" s="6"/>
      <c r="J171" s="6"/>
      <c r="K171" s="6"/>
      <c r="L171" s="6"/>
      <c r="M171" s="7"/>
    </row>
    <row r="172" spans="2:13" x14ac:dyDescent="0.3">
      <c r="B172" s="24"/>
      <c r="C172" s="6">
        <f t="shared" si="28"/>
        <v>6480.25</v>
      </c>
      <c r="D172" s="6"/>
      <c r="E172" s="6">
        <f t="shared" si="29"/>
        <v>6322.5702518206199</v>
      </c>
      <c r="F172" s="6"/>
      <c r="G172" s="6"/>
      <c r="H172" s="6"/>
      <c r="I172" s="6"/>
      <c r="J172" s="6"/>
      <c r="K172" s="6"/>
      <c r="L172" s="6"/>
      <c r="M172" s="7"/>
    </row>
    <row r="173" spans="2:13" x14ac:dyDescent="0.3">
      <c r="B173" s="24"/>
      <c r="C173" s="6">
        <f t="shared" si="28"/>
        <v>24180.25</v>
      </c>
      <c r="D173" s="6"/>
      <c r="E173" s="6">
        <f t="shared" si="29"/>
        <v>13376.677557570902</v>
      </c>
      <c r="F173" s="6"/>
      <c r="G173" s="6"/>
      <c r="H173" s="6"/>
      <c r="I173" s="6"/>
      <c r="J173" s="6"/>
      <c r="K173" s="6"/>
      <c r="L173" s="6"/>
      <c r="M173" s="7"/>
    </row>
    <row r="174" spans="2:13" x14ac:dyDescent="0.3">
      <c r="B174" s="24"/>
      <c r="C174" s="6">
        <f t="shared" si="28"/>
        <v>30800.25</v>
      </c>
      <c r="D174" s="6"/>
      <c r="E174" s="6">
        <f t="shared" si="29"/>
        <v>67719.430135202638</v>
      </c>
      <c r="F174" s="6"/>
      <c r="G174" s="6"/>
      <c r="H174" s="6"/>
      <c r="I174" s="6"/>
      <c r="J174" s="6"/>
      <c r="K174" s="6"/>
      <c r="L174" s="6"/>
      <c r="M174" s="7"/>
    </row>
    <row r="175" spans="2:13" x14ac:dyDescent="0.3">
      <c r="B175" s="24"/>
      <c r="C175" s="6">
        <f t="shared" si="28"/>
        <v>34410.25</v>
      </c>
      <c r="D175" s="6"/>
      <c r="E175" s="6">
        <f t="shared" si="29"/>
        <v>35322.789175460646</v>
      </c>
      <c r="F175" s="6"/>
      <c r="G175" s="6"/>
      <c r="H175" s="6"/>
      <c r="I175" s="6"/>
      <c r="J175" s="6"/>
      <c r="K175" s="6" t="s">
        <v>92</v>
      </c>
      <c r="L175" s="6"/>
      <c r="M175" s="7">
        <f>SUM(C170:C179)</f>
        <v>295284.5</v>
      </c>
    </row>
    <row r="176" spans="2:13" x14ac:dyDescent="0.3">
      <c r="B176" s="24"/>
      <c r="C176" s="6">
        <f t="shared" si="28"/>
        <v>20.25</v>
      </c>
      <c r="D176" s="6"/>
      <c r="E176" s="6">
        <f t="shared" si="29"/>
        <v>836.04234734818294</v>
      </c>
      <c r="F176" s="6"/>
      <c r="G176" s="6" t="s">
        <v>60</v>
      </c>
      <c r="H176" s="6"/>
      <c r="I176" s="6">
        <f>SUM(C170:C179)</f>
        <v>295284.5</v>
      </c>
      <c r="J176" s="6"/>
      <c r="K176" s="6" t="s">
        <v>93</v>
      </c>
      <c r="L176" s="6"/>
      <c r="M176" s="7">
        <f>E163/(SQRT(E164)*SQRT(M175))</f>
        <v>0.95370790151748319</v>
      </c>
    </row>
    <row r="177" spans="2:13" x14ac:dyDescent="0.3">
      <c r="B177" s="24"/>
      <c r="C177" s="6">
        <f t="shared" si="28"/>
        <v>7832.25</v>
      </c>
      <c r="D177" s="6"/>
      <c r="E177" s="6">
        <f t="shared" si="29"/>
        <v>18863.205462043323</v>
      </c>
      <c r="F177" s="6"/>
      <c r="G177" s="6" t="s">
        <v>61</v>
      </c>
      <c r="H177" s="6"/>
      <c r="I177" s="6">
        <f>SUM(E170:E179)</f>
        <v>268578.60408560315</v>
      </c>
      <c r="J177" s="6"/>
      <c r="K177" s="6" t="s">
        <v>94</v>
      </c>
      <c r="L177" s="6"/>
      <c r="M177" s="7">
        <f>M176^2</f>
        <v>0.90955876141688141</v>
      </c>
    </row>
    <row r="178" spans="2:13" x14ac:dyDescent="0.3">
      <c r="B178" s="24"/>
      <c r="C178" s="6">
        <f t="shared" si="28"/>
        <v>111890.25</v>
      </c>
      <c r="D178" s="6"/>
      <c r="E178" s="6">
        <f t="shared" si="29"/>
        <v>79476.275644786467</v>
      </c>
      <c r="F178" s="6"/>
      <c r="G178" s="6"/>
      <c r="H178" s="6"/>
      <c r="I178" s="6"/>
      <c r="J178" s="6"/>
      <c r="K178" s="6"/>
      <c r="L178" s="6"/>
      <c r="M178" s="7"/>
    </row>
    <row r="179" spans="2:13" x14ac:dyDescent="0.3">
      <c r="B179" s="24"/>
      <c r="C179" s="6">
        <f t="shared" si="28"/>
        <v>13340.25</v>
      </c>
      <c r="D179" s="6"/>
      <c r="E179" s="6">
        <f t="shared" si="29"/>
        <v>6322.5702518206199</v>
      </c>
      <c r="F179" s="6"/>
      <c r="G179" s="64" t="s">
        <v>62</v>
      </c>
      <c r="H179" s="64"/>
      <c r="I179" s="64">
        <f>I177/I176</f>
        <v>0.90955876141688152</v>
      </c>
      <c r="J179" s="6"/>
      <c r="K179" s="6" t="s">
        <v>75</v>
      </c>
      <c r="L179" s="6">
        <f>CORREL(L150:L159,M150:M159)^2</f>
        <v>0.90955876141688141</v>
      </c>
      <c r="M179" s="7"/>
    </row>
    <row r="180" spans="2:13" x14ac:dyDescent="0.3">
      <c r="B180" s="24"/>
      <c r="C180" s="6"/>
      <c r="D180" s="6"/>
      <c r="E180" s="6"/>
      <c r="F180" s="6"/>
      <c r="G180" s="64" t="s">
        <v>93</v>
      </c>
      <c r="H180" s="64"/>
      <c r="I180" s="64">
        <f>M176</f>
        <v>0.95370790151748319</v>
      </c>
      <c r="J180" s="6"/>
      <c r="K180" s="6"/>
      <c r="L180" s="6"/>
      <c r="M180" s="7"/>
    </row>
    <row r="181" spans="2:13" x14ac:dyDescent="0.3">
      <c r="B181" s="24"/>
      <c r="C181" s="70" t="s">
        <v>66</v>
      </c>
      <c r="D181" s="71"/>
      <c r="E181" s="72"/>
      <c r="F181" s="72"/>
      <c r="G181" s="72"/>
      <c r="H181" s="72"/>
      <c r="I181" s="72"/>
      <c r="J181" s="72"/>
      <c r="K181" s="72"/>
      <c r="L181" s="72"/>
      <c r="M181" s="73"/>
    </row>
    <row r="182" spans="2:13" ht="17.25" thickBot="1" x14ac:dyDescent="0.35">
      <c r="B182" s="24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7"/>
    </row>
    <row r="183" spans="2:13" ht="17.25" thickBot="1" x14ac:dyDescent="0.35">
      <c r="B183" s="24"/>
      <c r="C183" s="6" t="s">
        <v>67</v>
      </c>
      <c r="D183" s="6"/>
      <c r="E183" s="6">
        <f>AVERAGE(L184:L193)</f>
        <v>316.39999999999998</v>
      </c>
      <c r="F183" s="6"/>
      <c r="G183" s="6"/>
      <c r="H183" s="6"/>
      <c r="I183" s="6"/>
      <c r="J183" s="6"/>
      <c r="K183" s="6"/>
      <c r="L183" s="66" t="s">
        <v>68</v>
      </c>
      <c r="M183" s="67" t="s">
        <v>64</v>
      </c>
    </row>
    <row r="184" spans="2:13" x14ac:dyDescent="0.3">
      <c r="B184" s="24"/>
      <c r="C184" s="6" t="s">
        <v>49</v>
      </c>
      <c r="D184" s="6"/>
      <c r="E184" s="6">
        <f>AVERAGE(M184:M193)</f>
        <v>315.5</v>
      </c>
      <c r="F184" s="6"/>
      <c r="G184" s="6"/>
      <c r="H184" s="6"/>
      <c r="I184" s="6"/>
      <c r="J184" s="6"/>
      <c r="K184" s="6"/>
      <c r="L184" s="2">
        <f t="shared" ref="L184:L193" si="30">L150^2</f>
        <v>484</v>
      </c>
      <c r="M184" s="4">
        <v>570</v>
      </c>
    </row>
    <row r="185" spans="2:13" ht="17.25" thickBot="1" x14ac:dyDescent="0.35">
      <c r="B185" s="24"/>
      <c r="C185" s="6"/>
      <c r="D185" s="6"/>
      <c r="E185" s="6"/>
      <c r="F185" s="6"/>
      <c r="G185" s="6"/>
      <c r="H185" s="6"/>
      <c r="I185" s="6"/>
      <c r="J185" s="6"/>
      <c r="K185" s="6"/>
      <c r="L185" s="5">
        <f t="shared" si="30"/>
        <v>400</v>
      </c>
      <c r="M185" s="7">
        <v>355</v>
      </c>
    </row>
    <row r="186" spans="2:13" x14ac:dyDescent="0.3">
      <c r="B186" s="24"/>
      <c r="C186" s="68" t="s">
        <v>69</v>
      </c>
      <c r="D186" s="16" t="s">
        <v>51</v>
      </c>
      <c r="E186" s="6"/>
      <c r="F186" s="6" t="s">
        <v>70</v>
      </c>
      <c r="G186" s="6"/>
      <c r="H186" s="6"/>
      <c r="I186" s="6"/>
      <c r="J186" s="6" t="s">
        <v>71</v>
      </c>
      <c r="K186" s="6"/>
      <c r="L186" s="5">
        <f t="shared" si="30"/>
        <v>225</v>
      </c>
      <c r="M186" s="7">
        <v>235</v>
      </c>
    </row>
    <row r="187" spans="2:13" x14ac:dyDescent="0.3">
      <c r="B187" s="24"/>
      <c r="C187" s="6">
        <f t="shared" ref="C187:C196" si="31">L184-$E$183</f>
        <v>167.60000000000002</v>
      </c>
      <c r="D187" s="7">
        <f t="shared" ref="D187:D196" si="32">M184-$E$184</f>
        <v>254.5</v>
      </c>
      <c r="E187" s="6"/>
      <c r="F187" s="6">
        <f>C187*D187</f>
        <v>42654.200000000004</v>
      </c>
      <c r="G187" s="6"/>
      <c r="H187" s="6"/>
      <c r="I187" s="6"/>
      <c r="J187" s="6">
        <f>C187^2</f>
        <v>28089.760000000009</v>
      </c>
      <c r="K187" s="6"/>
      <c r="L187" s="5">
        <f t="shared" si="30"/>
        <v>196</v>
      </c>
      <c r="M187" s="7">
        <v>160</v>
      </c>
    </row>
    <row r="188" spans="2:13" x14ac:dyDescent="0.3">
      <c r="B188" s="24"/>
      <c r="C188" s="6">
        <f t="shared" si="31"/>
        <v>83.600000000000023</v>
      </c>
      <c r="D188" s="7">
        <f t="shared" si="32"/>
        <v>39.5</v>
      </c>
      <c r="E188" s="6"/>
      <c r="F188" s="6">
        <f t="shared" ref="F188:F196" si="33">C188*D188</f>
        <v>3302.2000000000007</v>
      </c>
      <c r="G188" s="6"/>
      <c r="H188" s="6"/>
      <c r="I188" s="6"/>
      <c r="J188" s="6">
        <f t="shared" ref="J188:J196" si="34">C188^2</f>
        <v>6988.9600000000037</v>
      </c>
      <c r="K188" s="6"/>
      <c r="L188" s="5">
        <f t="shared" si="30"/>
        <v>100</v>
      </c>
      <c r="M188" s="7">
        <v>140</v>
      </c>
    </row>
    <row r="189" spans="2:13" x14ac:dyDescent="0.3">
      <c r="B189" s="24"/>
      <c r="C189" s="6">
        <f t="shared" si="31"/>
        <v>-91.399999999999977</v>
      </c>
      <c r="D189" s="7">
        <f t="shared" si="32"/>
        <v>-80.5</v>
      </c>
      <c r="E189" s="6"/>
      <c r="F189" s="6">
        <f t="shared" si="33"/>
        <v>7357.699999999998</v>
      </c>
      <c r="G189" s="6"/>
      <c r="H189" s="6"/>
      <c r="I189" s="6"/>
      <c r="J189" s="6">
        <f t="shared" si="34"/>
        <v>8353.9599999999955</v>
      </c>
      <c r="K189" s="6"/>
      <c r="L189" s="5">
        <f t="shared" si="30"/>
        <v>144</v>
      </c>
      <c r="M189" s="7">
        <v>130</v>
      </c>
    </row>
    <row r="190" spans="2:13" x14ac:dyDescent="0.3">
      <c r="B190" s="24"/>
      <c r="C190" s="6">
        <f t="shared" si="31"/>
        <v>-120.39999999999998</v>
      </c>
      <c r="D190" s="7">
        <f t="shared" si="32"/>
        <v>-155.5</v>
      </c>
      <c r="E190" s="6"/>
      <c r="F190" s="6">
        <f t="shared" si="33"/>
        <v>18722.199999999997</v>
      </c>
      <c r="G190" s="6"/>
      <c r="H190" s="6"/>
      <c r="I190" s="6"/>
      <c r="J190" s="6">
        <f t="shared" si="34"/>
        <v>14496.159999999994</v>
      </c>
      <c r="K190" s="6"/>
      <c r="L190" s="5">
        <f t="shared" si="30"/>
        <v>324</v>
      </c>
      <c r="M190" s="7">
        <v>311</v>
      </c>
    </row>
    <row r="191" spans="2:13" x14ac:dyDescent="0.3">
      <c r="B191" s="24"/>
      <c r="C191" s="6">
        <f t="shared" si="31"/>
        <v>-216.39999999999998</v>
      </c>
      <c r="D191" s="7">
        <f t="shared" si="32"/>
        <v>-175.5</v>
      </c>
      <c r="E191" s="6"/>
      <c r="F191" s="6">
        <f t="shared" si="33"/>
        <v>37978.199999999997</v>
      </c>
      <c r="G191" s="6"/>
      <c r="H191" s="6"/>
      <c r="I191" s="6"/>
      <c r="J191" s="6">
        <f t="shared" si="34"/>
        <v>46828.959999999992</v>
      </c>
      <c r="K191" s="6"/>
      <c r="L191" s="5">
        <f t="shared" si="30"/>
        <v>441</v>
      </c>
      <c r="M191" s="7">
        <v>404</v>
      </c>
    </row>
    <row r="192" spans="2:13" x14ac:dyDescent="0.3">
      <c r="B192" s="24"/>
      <c r="C192" s="6">
        <f t="shared" si="31"/>
        <v>-172.39999999999998</v>
      </c>
      <c r="D192" s="7">
        <f t="shared" si="32"/>
        <v>-185.5</v>
      </c>
      <c r="E192" s="6"/>
      <c r="F192" s="6">
        <f t="shared" si="33"/>
        <v>31980.199999999997</v>
      </c>
      <c r="G192" s="6"/>
      <c r="H192" s="6"/>
      <c r="I192" s="6"/>
      <c r="J192" s="6">
        <f t="shared" si="34"/>
        <v>29721.759999999991</v>
      </c>
      <c r="K192" s="6"/>
      <c r="L192" s="5">
        <f t="shared" si="30"/>
        <v>625</v>
      </c>
      <c r="M192" s="7">
        <v>650</v>
      </c>
    </row>
    <row r="193" spans="2:13" ht="17.25" thickBot="1" x14ac:dyDescent="0.35">
      <c r="B193" s="24"/>
      <c r="C193" s="6">
        <f t="shared" si="31"/>
        <v>7.6000000000000227</v>
      </c>
      <c r="D193" s="7">
        <f t="shared" si="32"/>
        <v>-4.5</v>
      </c>
      <c r="E193" s="6"/>
      <c r="F193" s="6">
        <f t="shared" si="33"/>
        <v>-34.200000000000102</v>
      </c>
      <c r="G193" s="6"/>
      <c r="H193" s="6"/>
      <c r="I193" s="6"/>
      <c r="J193" s="6">
        <f t="shared" si="34"/>
        <v>57.760000000000346</v>
      </c>
      <c r="K193" s="6"/>
      <c r="L193" s="8">
        <f t="shared" si="30"/>
        <v>225</v>
      </c>
      <c r="M193" s="10">
        <v>200</v>
      </c>
    </row>
    <row r="194" spans="2:13" x14ac:dyDescent="0.3">
      <c r="B194" s="24"/>
      <c r="C194" s="6">
        <f t="shared" si="31"/>
        <v>124.60000000000002</v>
      </c>
      <c r="D194" s="7">
        <f t="shared" si="32"/>
        <v>88.5</v>
      </c>
      <c r="E194" s="6"/>
      <c r="F194" s="6">
        <f t="shared" si="33"/>
        <v>11027.100000000002</v>
      </c>
      <c r="G194" s="6"/>
      <c r="H194" s="6"/>
      <c r="I194" s="6"/>
      <c r="J194" s="6">
        <f t="shared" si="34"/>
        <v>15525.160000000005</v>
      </c>
      <c r="K194" s="6"/>
      <c r="L194" s="6"/>
      <c r="M194" s="7"/>
    </row>
    <row r="195" spans="2:13" x14ac:dyDescent="0.3">
      <c r="B195" s="24"/>
      <c r="C195" s="6">
        <f t="shared" si="31"/>
        <v>308.60000000000002</v>
      </c>
      <c r="D195" s="7">
        <f t="shared" si="32"/>
        <v>334.5</v>
      </c>
      <c r="E195" s="6"/>
      <c r="F195" s="6">
        <f t="shared" si="33"/>
        <v>103226.70000000001</v>
      </c>
      <c r="G195" s="6"/>
      <c r="H195" s="6"/>
      <c r="I195" s="6"/>
      <c r="J195" s="6">
        <f t="shared" si="34"/>
        <v>95233.960000000021</v>
      </c>
      <c r="K195" s="6"/>
      <c r="L195" s="6"/>
      <c r="M195" s="7"/>
    </row>
    <row r="196" spans="2:13" ht="17.25" thickBot="1" x14ac:dyDescent="0.35">
      <c r="B196" s="24"/>
      <c r="C196" s="9">
        <f t="shared" si="31"/>
        <v>-91.399999999999977</v>
      </c>
      <c r="D196" s="10">
        <f t="shared" si="32"/>
        <v>-115.5</v>
      </c>
      <c r="E196" s="6"/>
      <c r="F196" s="6">
        <f t="shared" si="33"/>
        <v>10556.699999999997</v>
      </c>
      <c r="G196" s="6"/>
      <c r="H196" s="6"/>
      <c r="I196" s="6"/>
      <c r="J196" s="6">
        <f t="shared" si="34"/>
        <v>8353.9599999999955</v>
      </c>
      <c r="K196" s="6"/>
      <c r="L196" s="6"/>
      <c r="M196" s="7"/>
    </row>
    <row r="197" spans="2:13" x14ac:dyDescent="0.3">
      <c r="B197" s="24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7"/>
    </row>
    <row r="198" spans="2:13" x14ac:dyDescent="0.3">
      <c r="B198" s="24"/>
      <c r="C198" s="6" t="s">
        <v>72</v>
      </c>
      <c r="D198" s="6"/>
      <c r="E198" s="6">
        <f>SUM(F187:F196)</f>
        <v>266771</v>
      </c>
      <c r="F198" s="6"/>
      <c r="G198" s="6"/>
      <c r="H198" s="6"/>
      <c r="I198" s="6"/>
      <c r="J198" s="6"/>
      <c r="K198" s="6"/>
      <c r="L198" s="6"/>
      <c r="M198" s="7"/>
    </row>
    <row r="199" spans="2:13" x14ac:dyDescent="0.3">
      <c r="B199" s="24"/>
      <c r="C199" s="6" t="s">
        <v>73</v>
      </c>
      <c r="D199" s="6"/>
      <c r="E199" s="6">
        <f>SUM(J187:J196)</f>
        <v>253650.4</v>
      </c>
      <c r="F199" s="6"/>
      <c r="G199" s="6"/>
      <c r="H199" s="6"/>
      <c r="I199" s="6"/>
      <c r="J199" s="6"/>
      <c r="K199" s="6"/>
      <c r="L199" s="6"/>
      <c r="M199" s="7"/>
    </row>
    <row r="200" spans="2:13" x14ac:dyDescent="0.3">
      <c r="B200" s="24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7"/>
    </row>
    <row r="201" spans="2:13" x14ac:dyDescent="0.3">
      <c r="B201" s="24"/>
      <c r="C201" s="64" t="s">
        <v>56</v>
      </c>
      <c r="D201" s="64"/>
      <c r="E201" s="64">
        <f>E198/E199</f>
        <v>1.0517271015539498</v>
      </c>
      <c r="F201" s="6"/>
      <c r="G201" s="6"/>
      <c r="H201" s="6"/>
      <c r="I201" s="6"/>
      <c r="J201" s="6"/>
      <c r="K201" s="6"/>
      <c r="L201" s="6"/>
      <c r="M201" s="7"/>
    </row>
    <row r="202" spans="2:13" x14ac:dyDescent="0.3">
      <c r="B202" s="24"/>
      <c r="C202" s="64" t="s">
        <v>57</v>
      </c>
      <c r="D202" s="64"/>
      <c r="E202" s="64">
        <f>E184-E183*E201</f>
        <v>-17.266454931669671</v>
      </c>
      <c r="F202" s="6"/>
      <c r="G202" s="6"/>
      <c r="H202" s="6"/>
      <c r="I202" s="6"/>
      <c r="J202" s="6"/>
      <c r="K202" s="6"/>
      <c r="L202" s="6"/>
      <c r="M202" s="7"/>
    </row>
    <row r="203" spans="2:13" x14ac:dyDescent="0.3">
      <c r="B203" s="24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7"/>
    </row>
    <row r="204" spans="2:13" x14ac:dyDescent="0.3">
      <c r="B204" s="24"/>
      <c r="C204" s="6" t="s">
        <v>58</v>
      </c>
      <c r="D204" s="6"/>
      <c r="E204" s="6" t="s">
        <v>59</v>
      </c>
      <c r="F204" s="6"/>
      <c r="G204" s="6"/>
      <c r="H204" s="6"/>
      <c r="I204" s="6"/>
      <c r="J204" s="6"/>
      <c r="K204" s="6"/>
      <c r="L204" s="6"/>
      <c r="M204" s="7"/>
    </row>
    <row r="205" spans="2:13" x14ac:dyDescent="0.3">
      <c r="B205" s="24"/>
      <c r="C205" s="6">
        <f t="shared" ref="C205:C214" si="35">(M184-$E$184)^2</f>
        <v>64770.25</v>
      </c>
      <c r="D205" s="6"/>
      <c r="E205" s="6">
        <f t="shared" ref="E205:E214" si="36">($E$202+$E$201*L184-$E$184)^2</f>
        <v>31070.923311483828</v>
      </c>
      <c r="F205" s="6"/>
      <c r="G205" s="6"/>
      <c r="H205" s="6"/>
      <c r="I205" s="6"/>
      <c r="J205" s="6"/>
      <c r="K205" s="6"/>
      <c r="L205" s="6"/>
      <c r="M205" s="7"/>
    </row>
    <row r="206" spans="2:13" x14ac:dyDescent="0.3">
      <c r="B206" s="24"/>
      <c r="C206" s="6">
        <f t="shared" si="35"/>
        <v>1560.25</v>
      </c>
      <c r="D206" s="6"/>
      <c r="E206" s="6">
        <f t="shared" si="36"/>
        <v>7730.6975989480952</v>
      </c>
      <c r="F206" s="6"/>
      <c r="G206" s="6"/>
      <c r="H206" s="6"/>
      <c r="I206" s="6"/>
      <c r="J206" s="6"/>
      <c r="K206" s="6"/>
      <c r="L206" s="6"/>
      <c r="M206" s="7"/>
    </row>
    <row r="207" spans="2:13" x14ac:dyDescent="0.3">
      <c r="B207" s="24"/>
      <c r="C207" s="6">
        <f t="shared" si="35"/>
        <v>6480.25</v>
      </c>
      <c r="D207" s="6"/>
      <c r="E207" s="6">
        <f t="shared" si="36"/>
        <v>9240.5649071833723</v>
      </c>
      <c r="F207" s="6"/>
      <c r="G207" s="6"/>
      <c r="H207" s="6"/>
      <c r="I207" s="6"/>
      <c r="J207" s="6"/>
      <c r="K207" s="6"/>
      <c r="L207" s="6"/>
      <c r="M207" s="7"/>
    </row>
    <row r="208" spans="2:13" x14ac:dyDescent="0.3">
      <c r="B208" s="24"/>
      <c r="C208" s="6">
        <f t="shared" si="35"/>
        <v>24180.25</v>
      </c>
      <c r="D208" s="6"/>
      <c r="E208" s="6">
        <f t="shared" si="36"/>
        <v>16034.635955273347</v>
      </c>
      <c r="F208" s="6"/>
      <c r="G208" s="6"/>
      <c r="H208" s="6"/>
      <c r="I208" s="6"/>
      <c r="J208" s="6"/>
      <c r="K208" s="6"/>
      <c r="L208" s="6"/>
      <c r="M208" s="7"/>
    </row>
    <row r="209" spans="2:13" x14ac:dyDescent="0.3">
      <c r="B209" s="24"/>
      <c r="C209" s="6">
        <f t="shared" si="35"/>
        <v>30800.25</v>
      </c>
      <c r="D209" s="6"/>
      <c r="E209" s="6">
        <f t="shared" si="36"/>
        <v>51798.912661288065</v>
      </c>
      <c r="F209" s="6"/>
      <c r="G209" s="6"/>
      <c r="H209" s="6"/>
      <c r="I209" s="6"/>
      <c r="J209" s="6"/>
      <c r="K209" s="6"/>
      <c r="L209" s="6"/>
      <c r="M209" s="7"/>
    </row>
    <row r="210" spans="2:13" x14ac:dyDescent="0.3">
      <c r="B210" s="24"/>
      <c r="C210" s="6">
        <f t="shared" si="35"/>
        <v>34410.25</v>
      </c>
      <c r="D210" s="6"/>
      <c r="E210" s="6">
        <f t="shared" si="36"/>
        <v>32876.127301989298</v>
      </c>
      <c r="F210" s="6"/>
      <c r="G210" s="6"/>
      <c r="H210" s="6"/>
      <c r="I210" s="6"/>
      <c r="J210" s="6"/>
      <c r="K210" s="6"/>
      <c r="L210" s="6"/>
      <c r="M210" s="7"/>
    </row>
    <row r="211" spans="2:13" x14ac:dyDescent="0.3">
      <c r="B211" s="24"/>
      <c r="C211" s="6">
        <f t="shared" si="35"/>
        <v>20.25</v>
      </c>
      <c r="D211" s="6"/>
      <c r="E211" s="6">
        <f t="shared" si="36"/>
        <v>63.890062801224502</v>
      </c>
      <c r="F211" s="6"/>
      <c r="G211" s="6"/>
      <c r="H211" s="6"/>
      <c r="I211" s="6"/>
      <c r="J211" s="6"/>
      <c r="K211" s="6" t="s">
        <v>92</v>
      </c>
      <c r="L211" s="6"/>
      <c r="M211" s="7">
        <f>SUM(C205:C214)</f>
        <v>295284.5</v>
      </c>
    </row>
    <row r="212" spans="2:13" x14ac:dyDescent="0.3">
      <c r="B212" s="24"/>
      <c r="C212" s="6">
        <f t="shared" si="35"/>
        <v>7832.25</v>
      </c>
      <c r="D212" s="6"/>
      <c r="E212" s="6">
        <f t="shared" si="36"/>
        <v>17172.843618404593</v>
      </c>
      <c r="F212" s="6"/>
      <c r="G212" s="6"/>
      <c r="H212" s="6"/>
      <c r="I212" s="6"/>
      <c r="J212" s="6"/>
      <c r="K212" s="6" t="s">
        <v>93</v>
      </c>
      <c r="L212" s="6"/>
      <c r="M212" s="7">
        <f>E198/(SQRT(E199)*SQRT(M211))</f>
        <v>0.97476632127081198</v>
      </c>
    </row>
    <row r="213" spans="2:13" x14ac:dyDescent="0.3">
      <c r="B213" s="24"/>
      <c r="C213" s="6">
        <f t="shared" si="35"/>
        <v>111890.25</v>
      </c>
      <c r="D213" s="6"/>
      <c r="E213" s="6">
        <f t="shared" si="36"/>
        <v>105341.13028409348</v>
      </c>
      <c r="F213" s="6"/>
      <c r="G213" s="6" t="s">
        <v>60</v>
      </c>
      <c r="H213" s="6"/>
      <c r="I213" s="6">
        <f>SUM(C205:C214)</f>
        <v>295284.5</v>
      </c>
      <c r="J213" s="6"/>
      <c r="K213" s="6" t="s">
        <v>94</v>
      </c>
      <c r="L213" s="6"/>
      <c r="M213" s="7">
        <f>M212^2</f>
        <v>0.95016938108383187</v>
      </c>
    </row>
    <row r="214" spans="2:13" x14ac:dyDescent="0.3">
      <c r="B214" s="24"/>
      <c r="C214" s="6">
        <f t="shared" si="35"/>
        <v>13340.25</v>
      </c>
      <c r="D214" s="6"/>
      <c r="E214" s="6">
        <f t="shared" si="36"/>
        <v>9240.5649071833723</v>
      </c>
      <c r="F214" s="6"/>
      <c r="G214" s="6" t="s">
        <v>61</v>
      </c>
      <c r="H214" s="6"/>
      <c r="I214" s="6">
        <f>SUM(E205:E214)</f>
        <v>280570.29060864862</v>
      </c>
      <c r="J214" s="6"/>
      <c r="K214" s="6"/>
      <c r="L214" s="6"/>
      <c r="M214" s="7"/>
    </row>
    <row r="215" spans="2:13" x14ac:dyDescent="0.3">
      <c r="B215" s="24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7"/>
    </row>
    <row r="216" spans="2:13" x14ac:dyDescent="0.3">
      <c r="B216" s="24"/>
      <c r="C216" s="6"/>
      <c r="D216" s="6"/>
      <c r="E216" s="6"/>
      <c r="F216" s="6"/>
      <c r="G216" s="64" t="s">
        <v>62</v>
      </c>
      <c r="H216" s="64"/>
      <c r="I216" s="64">
        <f>I214/I213</f>
        <v>0.95016938108383142</v>
      </c>
      <c r="J216" s="6"/>
      <c r="K216" s="6" t="s">
        <v>75</v>
      </c>
      <c r="L216" s="6">
        <f>CORREL(L184:L193,M184:M193)^2</f>
        <v>0.95016938108383142</v>
      </c>
      <c r="M216" s="7"/>
    </row>
    <row r="217" spans="2:13" x14ac:dyDescent="0.3">
      <c r="B217" s="24"/>
      <c r="C217" s="6"/>
      <c r="D217" s="6"/>
      <c r="E217" s="6"/>
      <c r="F217" s="6"/>
      <c r="G217" s="64" t="s">
        <v>93</v>
      </c>
      <c r="H217" s="64"/>
      <c r="I217" s="69">
        <f>E198/(SQRT(E199)*SQRT(M211))</f>
        <v>0.97476632127081198</v>
      </c>
      <c r="J217" s="6"/>
      <c r="K217" s="6"/>
      <c r="L217" s="6"/>
      <c r="M217" s="7"/>
    </row>
    <row r="218" spans="2:13" ht="17.25" thickBot="1" x14ac:dyDescent="0.35">
      <c r="B218" s="25"/>
      <c r="C218" s="65" t="s">
        <v>74</v>
      </c>
      <c r="D218" s="65"/>
      <c r="E218" s="65"/>
      <c r="F218" s="28" t="s">
        <v>95</v>
      </c>
      <c r="G218" s="28"/>
      <c r="H218" s="28"/>
      <c r="I218" s="28"/>
      <c r="J218" s="9"/>
      <c r="K218" s="9"/>
      <c r="L218" s="9"/>
      <c r="M21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sbm78</dc:creator>
  <cp:lastModifiedBy>sbm78</cp:lastModifiedBy>
  <dcterms:created xsi:type="dcterms:W3CDTF">2021-11-29T08:22:46Z</dcterms:created>
  <dcterms:modified xsi:type="dcterms:W3CDTF">2021-11-30T15:30:48Z</dcterms:modified>
</cp:coreProperties>
</file>